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_skoroszyt" defaultThemeVersion="124226"/>
  <mc:AlternateContent xmlns:mc="http://schemas.openxmlformats.org/markup-compatibility/2006">
    <mc:Choice Requires="x15">
      <x15ac:absPath xmlns:x15ac="http://schemas.microsoft.com/office/spreadsheetml/2010/11/ac" url="D:\Dane\rawicki\Documents\Pulpit_folder\"/>
    </mc:Choice>
  </mc:AlternateContent>
  <xr:revisionPtr revIDLastSave="0" documentId="13_ncr:1_{A41BD678-8E1C-4D63-BD8B-7181D9205D0A}" xr6:coauthVersionLast="47" xr6:coauthVersionMax="47" xr10:uidLastSave="{00000000-0000-0000-0000-000000000000}"/>
  <bookViews>
    <workbookView xWindow="-120" yWindow="-120" windowWidth="29040" windowHeight="17520" tabRatio="921" firstSheet="2" activeTab="2" xr2:uid="{00000000-000D-0000-FFFF-FFFF00000000}"/>
  </bookViews>
  <sheets>
    <sheet name="names" sheetId="93" state="hidden" r:id="rId1"/>
    <sheet name="ster" sheetId="92" state="hidden" r:id="rId2"/>
    <sheet name="Spis treści" sheetId="79" r:id="rId3"/>
    <sheet name="Otoczenie makro" sheetId="77" r:id="rId4"/>
    <sheet name="Parametry makro" sheetId="10" r:id="rId5"/>
    <sheet name="Konsumpcja" sheetId="9" r:id="rId6"/>
    <sheet name="Wybrane dane finansowe" sheetId="78" r:id="rId7"/>
    <sheet name="Kluczowe dane finansowe" sheetId="115" r:id="rId8"/>
    <sheet name="EBITDA, EBIT, Amortyzacja" sheetId="73" r:id="rId9"/>
    <sheet name="Upstream&amp;Supply" sheetId="116" r:id="rId10"/>
    <sheet name="Downstream" sheetId="117" r:id="rId11"/>
    <sheet name="Energy" sheetId="71" r:id="rId12"/>
    <sheet name="Consumers&amp;Products" sheetId="52" r:id="rId13"/>
    <sheet name="Corporate functions" sheetId="20" r:id="rId14"/>
    <sheet name="RZiS" sheetId="65" r:id="rId15"/>
    <sheet name="Bilans" sheetId="66" r:id="rId16"/>
    <sheet name="CashFlow" sheetId="83" r:id="rId17"/>
    <sheet name="Wybrane dane operacyjne" sheetId="80" r:id="rId18"/>
    <sheet name="Produkcja Downstream" sheetId="118" r:id="rId19"/>
    <sheet name="Sprzedaż Downstream i C&amp;P" sheetId="109" r:id="rId20"/>
    <sheet name="Upstream&amp;Supply_Energy" sheetId="90" r:id="rId21"/>
    <sheet name="Dane historyczne" sheetId="85" r:id="rId22"/>
    <sheet name="Marże'13-'24" sheetId="105" r:id="rId23"/>
    <sheet name="Kursy'13-'24" sheetId="106" r:id="rId24"/>
    <sheet name="Konsumpcja'13-'24" sheetId="107" r:id="rId25"/>
    <sheet name="Kluczowe dane finansowe'13-'19" sheetId="55" r:id="rId26"/>
    <sheet name="Kluczowe dane finansowe'19-'24" sheetId="94" r:id="rId27"/>
    <sheet name="EBITDA, EBIT, Amort.'13-'19" sheetId="60" r:id="rId28"/>
    <sheet name="EBITDA, EBIT, Amort.'19-'24" sheetId="102" r:id="rId29"/>
    <sheet name="Downstream'13-'19" sheetId="51" r:id="rId30"/>
    <sheet name="Rafineria '19-'24" sheetId="96" r:id="rId31"/>
    <sheet name="Petrochemia '19-'24" sheetId="97" r:id="rId32"/>
    <sheet name="Energetyka '19-'24" sheetId="98" r:id="rId33"/>
    <sheet name="Detal '13-'24" sheetId="99" r:id="rId34"/>
    <sheet name="Wydobycie '13-'24" sheetId="100" r:id="rId35"/>
    <sheet name="Gaz '22-'24" sheetId="101" r:id="rId36"/>
    <sheet name="Funkcje Korporacyjne '13-'24" sheetId="108" r:id="rId37"/>
    <sheet name="RZiS'13-'17" sheetId="42" r:id="rId38"/>
    <sheet name="RZiS'18" sheetId="62" r:id="rId39"/>
    <sheet name="RZiS'19-'24" sheetId="111" r:id="rId40"/>
    <sheet name="Bilans'13-'15" sheetId="49" r:id="rId41"/>
    <sheet name="Bilans'16" sheetId="59" r:id="rId42"/>
    <sheet name="Bilans'17-'18" sheetId="61" r:id="rId43"/>
    <sheet name="Bilans'19-'24" sheetId="112" r:id="rId44"/>
    <sheet name="CashFlow '13-'15" sheetId="50" r:id="rId45"/>
    <sheet name="CashFlow '16-'17" sheetId="58" r:id="rId46"/>
    <sheet name="CashFlow '18" sheetId="64" r:id="rId47"/>
    <sheet name="CashFlow '19" sheetId="67" r:id="rId48"/>
    <sheet name="CashFlow '20" sheetId="68" r:id="rId49"/>
    <sheet name="CashFlow '21" sheetId="82" r:id="rId50"/>
    <sheet name="CashFlow '22" sheetId="88" r:id="rId51"/>
    <sheet name="CashFlow '23" sheetId="91" r:id="rId52"/>
    <sheet name="CashFlow'24" sheetId="113" r:id="rId53"/>
    <sheet name="Produkcja'13-'19" sheetId="56" r:id="rId54"/>
    <sheet name="Produkcja'19-'24" sheetId="81" r:id="rId55"/>
    <sheet name="Sprzedaż '13-'19" sheetId="46" r:id="rId56"/>
    <sheet name="Sprzedaż '19-'24" sheetId="103" r:id="rId57"/>
    <sheet name="Energ_Wydoby_Gaz_'19-'22" sheetId="84" r:id="rId58"/>
    <sheet name="Spółki dawnej Grupy PGNiG" sheetId="87" r:id="rId59"/>
  </sheets>
  <externalReferences>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__123Graph_AGraph1" localSheetId="15" hidden="1">'[1]NOTOWANIAod-01.09.1995'!#REF!</definedName>
    <definedName name="__123Graph_AGraph1" localSheetId="40" hidden="1">'[1]NOTOWANIAod-01.09.1995'!#REF!</definedName>
    <definedName name="__123Graph_AGraph1" localSheetId="41" hidden="1">'[1]NOTOWANIAod-01.09.1995'!#REF!</definedName>
    <definedName name="__123Graph_AGraph1" localSheetId="42" hidden="1">'[1]NOTOWANIAod-01.09.1995'!#REF!</definedName>
    <definedName name="__123Graph_AGraph1" localSheetId="43" hidden="1">'[1]NOTOWANIAod-01.09.1995'!#REF!</definedName>
    <definedName name="__123Graph_AGraph1" localSheetId="16" hidden="1">'[1]NOTOWANIAod-01.09.1995'!#REF!</definedName>
    <definedName name="__123Graph_AGraph1" localSheetId="44" hidden="1">'[1]NOTOWANIAod-01.09.1995'!#REF!</definedName>
    <definedName name="__123Graph_AGraph1" localSheetId="45" hidden="1">'[1]NOTOWANIAod-01.09.1995'!#REF!</definedName>
    <definedName name="__123Graph_AGraph1" localSheetId="46" hidden="1">'[1]NOTOWANIAod-01.09.1995'!#REF!</definedName>
    <definedName name="__123Graph_AGraph1" localSheetId="47" hidden="1">'[1]NOTOWANIAod-01.09.1995'!#REF!</definedName>
    <definedName name="__123Graph_AGraph1" localSheetId="48" hidden="1">'[1]NOTOWANIAod-01.09.1995'!#REF!</definedName>
    <definedName name="__123Graph_AGraph1" localSheetId="49" hidden="1">'[1]NOTOWANIAod-01.09.1995'!#REF!</definedName>
    <definedName name="__123Graph_AGraph1" localSheetId="50" hidden="1">'[1]NOTOWANIAod-01.09.1995'!#REF!</definedName>
    <definedName name="__123Graph_AGraph1" localSheetId="51" hidden="1">'[1]NOTOWANIAod-01.09.1995'!#REF!</definedName>
    <definedName name="__123Graph_AGraph1" localSheetId="52" hidden="1">'[1]NOTOWANIAod-01.09.1995'!#REF!</definedName>
    <definedName name="__123Graph_AGraph1" localSheetId="12" hidden="1">'[1]NOTOWANIAod-01.09.1995'!#REF!</definedName>
    <definedName name="__123Graph_AGraph1" localSheetId="33" hidden="1">'[1]NOTOWANIAod-01.09.1995'!#REF!</definedName>
    <definedName name="__123Graph_AGraph1" localSheetId="10" hidden="1">'[1]NOTOWANIAod-01.09.1995'!#REF!</definedName>
    <definedName name="__123Graph_AGraph1" localSheetId="29" hidden="1">'[1]NOTOWANIAod-01.09.1995'!#REF!</definedName>
    <definedName name="__123Graph_AGraph1" localSheetId="27" hidden="1">'[1]NOTOWANIAod-01.09.1995'!#REF!</definedName>
    <definedName name="__123Graph_AGraph1" localSheetId="28" hidden="1">'[1]NOTOWANIAod-01.09.1995'!#REF!</definedName>
    <definedName name="__123Graph_AGraph1" localSheetId="8" hidden="1">'[1]NOTOWANIAod-01.09.1995'!#REF!</definedName>
    <definedName name="__123Graph_AGraph1" localSheetId="32" hidden="1">'[1]NOTOWANIAod-01.09.1995'!#REF!</definedName>
    <definedName name="__123Graph_AGraph1" localSheetId="11" hidden="1">'[1]NOTOWANIAod-01.09.1995'!#REF!</definedName>
    <definedName name="__123Graph_AGraph1" localSheetId="35" hidden="1">'[1]NOTOWANIAod-01.09.1995'!#REF!</definedName>
    <definedName name="__123Graph_AGraph1" localSheetId="7" hidden="1">'[1]NOTOWANIAod-01.09.1995'!#REF!</definedName>
    <definedName name="__123Graph_AGraph1" localSheetId="26" hidden="1">'[1]NOTOWANIAod-01.09.1995'!#REF!</definedName>
    <definedName name="__123Graph_AGraph1" localSheetId="23" hidden="1">'[1]NOTOWANIAod-01.09.1995'!#REF!</definedName>
    <definedName name="__123Graph_AGraph1" localSheetId="22" hidden="1">'[1]NOTOWANIAod-01.09.1995'!#REF!</definedName>
    <definedName name="__123Graph_AGraph1" localSheetId="31" hidden="1">'[1]NOTOWANIAod-01.09.1995'!#REF!</definedName>
    <definedName name="__123Graph_AGraph1" localSheetId="18" hidden="1">'[1]NOTOWANIAod-01.09.1995'!#REF!</definedName>
    <definedName name="__123Graph_AGraph1" localSheetId="54" hidden="1">'[1]NOTOWANIAod-01.09.1995'!#REF!</definedName>
    <definedName name="__123Graph_AGraph1" localSheetId="30" hidden="1">'[1]NOTOWANIAod-01.09.1995'!#REF!</definedName>
    <definedName name="__123Graph_AGraph1" localSheetId="14" hidden="1">'[1]NOTOWANIAod-01.09.1995'!#REF!</definedName>
    <definedName name="__123Graph_AGraph1" localSheetId="37" hidden="1">'[1]NOTOWANIAod-01.09.1995'!#REF!</definedName>
    <definedName name="__123Graph_AGraph1" localSheetId="38" hidden="1">'[1]NOTOWANIAod-01.09.1995'!#REF!</definedName>
    <definedName name="__123Graph_AGraph1" localSheetId="39" hidden="1">'[1]NOTOWANIAod-01.09.1995'!#REF!</definedName>
    <definedName name="__123Graph_AGraph1" localSheetId="2" hidden="1">'[1]NOTOWANIAod-01.09.1995'!#REF!</definedName>
    <definedName name="__123Graph_AGraph1" localSheetId="58" hidden="1">'[1]NOTOWANIAod-01.09.1995'!#REF!</definedName>
    <definedName name="__123Graph_AGraph1" localSheetId="56" hidden="1">'[1]NOTOWANIAod-01.09.1995'!#REF!</definedName>
    <definedName name="__123Graph_AGraph1" localSheetId="19" hidden="1">'[1]NOTOWANIAod-01.09.1995'!#REF!</definedName>
    <definedName name="__123Graph_AGraph1" localSheetId="9" hidden="1">'[1]NOTOWANIAod-01.09.1995'!#REF!</definedName>
    <definedName name="__123Graph_AGraph1" localSheetId="6" hidden="1">'[1]NOTOWANIAod-01.09.1995'!#REF!</definedName>
    <definedName name="__123Graph_AGraph1" localSheetId="17" hidden="1">'[1]NOTOWANIAod-01.09.1995'!#REF!</definedName>
    <definedName name="__123Graph_AGraph1" localSheetId="34" hidden="1">'[1]NOTOWANIAod-01.09.1995'!#REF!</definedName>
    <definedName name="__123Graph_AGraph1" hidden="1">'[1]NOTOWANIAod-01.09.1995'!#REF!</definedName>
    <definedName name="__123Graph_BGraph1" localSheetId="15" hidden="1">'[1]NOTOWANIAod-01.09.1995'!#REF!</definedName>
    <definedName name="__123Graph_BGraph1" localSheetId="40" hidden="1">'[1]NOTOWANIAod-01.09.1995'!#REF!</definedName>
    <definedName name="__123Graph_BGraph1" localSheetId="41" hidden="1">'[1]NOTOWANIAod-01.09.1995'!#REF!</definedName>
    <definedName name="__123Graph_BGraph1" localSheetId="42" hidden="1">'[1]NOTOWANIAod-01.09.1995'!#REF!</definedName>
    <definedName name="__123Graph_BGraph1" localSheetId="43" hidden="1">'[1]NOTOWANIAod-01.09.1995'!#REF!</definedName>
    <definedName name="__123Graph_BGraph1" localSheetId="16" hidden="1">'[1]NOTOWANIAod-01.09.1995'!#REF!</definedName>
    <definedName name="__123Graph_BGraph1" localSheetId="44" hidden="1">'[1]NOTOWANIAod-01.09.1995'!#REF!</definedName>
    <definedName name="__123Graph_BGraph1" localSheetId="45" hidden="1">'[1]NOTOWANIAod-01.09.1995'!#REF!</definedName>
    <definedName name="__123Graph_BGraph1" localSheetId="46" hidden="1">'[1]NOTOWANIAod-01.09.1995'!#REF!</definedName>
    <definedName name="__123Graph_BGraph1" localSheetId="47" hidden="1">'[1]NOTOWANIAod-01.09.1995'!#REF!</definedName>
    <definedName name="__123Graph_BGraph1" localSheetId="48" hidden="1">'[1]NOTOWANIAod-01.09.1995'!#REF!</definedName>
    <definedName name="__123Graph_BGraph1" localSheetId="49" hidden="1">'[1]NOTOWANIAod-01.09.1995'!#REF!</definedName>
    <definedName name="__123Graph_BGraph1" localSheetId="50" hidden="1">'[1]NOTOWANIAod-01.09.1995'!#REF!</definedName>
    <definedName name="__123Graph_BGraph1" localSheetId="51" hidden="1">'[1]NOTOWANIAod-01.09.1995'!#REF!</definedName>
    <definedName name="__123Graph_BGraph1" localSheetId="52" hidden="1">'[1]NOTOWANIAod-01.09.1995'!#REF!</definedName>
    <definedName name="__123Graph_BGraph1" localSheetId="12" hidden="1">'[1]NOTOWANIAod-01.09.1995'!#REF!</definedName>
    <definedName name="__123Graph_BGraph1" localSheetId="33" hidden="1">'[1]NOTOWANIAod-01.09.1995'!#REF!</definedName>
    <definedName name="__123Graph_BGraph1" localSheetId="10" hidden="1">'[1]NOTOWANIAod-01.09.1995'!#REF!</definedName>
    <definedName name="__123Graph_BGraph1" localSheetId="29" hidden="1">'[1]NOTOWANIAod-01.09.1995'!#REF!</definedName>
    <definedName name="__123Graph_BGraph1" localSheetId="27" hidden="1">'[1]NOTOWANIAod-01.09.1995'!#REF!</definedName>
    <definedName name="__123Graph_BGraph1" localSheetId="28" hidden="1">'[1]NOTOWANIAod-01.09.1995'!#REF!</definedName>
    <definedName name="__123Graph_BGraph1" localSheetId="8" hidden="1">'[1]NOTOWANIAod-01.09.1995'!#REF!</definedName>
    <definedName name="__123Graph_BGraph1" localSheetId="32" hidden="1">'[1]NOTOWANIAod-01.09.1995'!#REF!</definedName>
    <definedName name="__123Graph_BGraph1" localSheetId="11" hidden="1">'[1]NOTOWANIAod-01.09.1995'!#REF!</definedName>
    <definedName name="__123Graph_BGraph1" localSheetId="35" hidden="1">'[1]NOTOWANIAod-01.09.1995'!#REF!</definedName>
    <definedName name="__123Graph_BGraph1" localSheetId="7" hidden="1">'[1]NOTOWANIAod-01.09.1995'!#REF!</definedName>
    <definedName name="__123Graph_BGraph1" localSheetId="26" hidden="1">'[1]NOTOWANIAod-01.09.1995'!#REF!</definedName>
    <definedName name="__123Graph_BGraph1" localSheetId="23" hidden="1">'[1]NOTOWANIAod-01.09.1995'!#REF!</definedName>
    <definedName name="__123Graph_BGraph1" localSheetId="22" hidden="1">'[1]NOTOWANIAod-01.09.1995'!#REF!</definedName>
    <definedName name="__123Graph_BGraph1" localSheetId="31" hidden="1">'[1]NOTOWANIAod-01.09.1995'!#REF!</definedName>
    <definedName name="__123Graph_BGraph1" localSheetId="18" hidden="1">'[1]NOTOWANIAod-01.09.1995'!#REF!</definedName>
    <definedName name="__123Graph_BGraph1" localSheetId="54" hidden="1">'[1]NOTOWANIAod-01.09.1995'!#REF!</definedName>
    <definedName name="__123Graph_BGraph1" localSheetId="30" hidden="1">'[1]NOTOWANIAod-01.09.1995'!#REF!</definedName>
    <definedName name="__123Graph_BGraph1" localSheetId="14" hidden="1">'[1]NOTOWANIAod-01.09.1995'!#REF!</definedName>
    <definedName name="__123Graph_BGraph1" localSheetId="37" hidden="1">'[1]NOTOWANIAod-01.09.1995'!#REF!</definedName>
    <definedName name="__123Graph_BGraph1" localSheetId="38" hidden="1">'[1]NOTOWANIAod-01.09.1995'!#REF!</definedName>
    <definedName name="__123Graph_BGraph1" localSheetId="39" hidden="1">'[1]NOTOWANIAod-01.09.1995'!#REF!</definedName>
    <definedName name="__123Graph_BGraph1" localSheetId="2" hidden="1">'[1]NOTOWANIAod-01.09.1995'!#REF!</definedName>
    <definedName name="__123Graph_BGraph1" localSheetId="58" hidden="1">'[1]NOTOWANIAod-01.09.1995'!#REF!</definedName>
    <definedName name="__123Graph_BGraph1" localSheetId="56" hidden="1">'[1]NOTOWANIAod-01.09.1995'!#REF!</definedName>
    <definedName name="__123Graph_BGraph1" localSheetId="19" hidden="1">'[1]NOTOWANIAod-01.09.1995'!#REF!</definedName>
    <definedName name="__123Graph_BGraph1" localSheetId="9" hidden="1">'[1]NOTOWANIAod-01.09.1995'!#REF!</definedName>
    <definedName name="__123Graph_BGraph1" localSheetId="6" hidden="1">'[1]NOTOWANIAod-01.09.1995'!#REF!</definedName>
    <definedName name="__123Graph_BGraph1" localSheetId="17" hidden="1">'[1]NOTOWANIAod-01.09.1995'!#REF!</definedName>
    <definedName name="__123Graph_BGraph1" localSheetId="34" hidden="1">'[1]NOTOWANIAod-01.09.1995'!#REF!</definedName>
    <definedName name="__123Graph_BGraph1" hidden="1">'[1]NOTOWANIAod-01.09.1995'!#REF!</definedName>
    <definedName name="__123Graph_CGraph1" localSheetId="15" hidden="1">'[1]NOTOWANIAod-01.09.1995'!#REF!</definedName>
    <definedName name="__123Graph_CGraph1" localSheetId="40" hidden="1">'[1]NOTOWANIAod-01.09.1995'!#REF!</definedName>
    <definedName name="__123Graph_CGraph1" localSheetId="41" hidden="1">'[1]NOTOWANIAod-01.09.1995'!#REF!</definedName>
    <definedName name="__123Graph_CGraph1" localSheetId="42" hidden="1">'[1]NOTOWANIAod-01.09.1995'!#REF!</definedName>
    <definedName name="__123Graph_CGraph1" localSheetId="43" hidden="1">'[1]NOTOWANIAod-01.09.1995'!#REF!</definedName>
    <definedName name="__123Graph_CGraph1" localSheetId="16" hidden="1">'[1]NOTOWANIAod-01.09.1995'!#REF!</definedName>
    <definedName name="__123Graph_CGraph1" localSheetId="44" hidden="1">'[1]NOTOWANIAod-01.09.1995'!#REF!</definedName>
    <definedName name="__123Graph_CGraph1" localSheetId="45" hidden="1">'[1]NOTOWANIAod-01.09.1995'!#REF!</definedName>
    <definedName name="__123Graph_CGraph1" localSheetId="46" hidden="1">'[1]NOTOWANIAod-01.09.1995'!#REF!</definedName>
    <definedName name="__123Graph_CGraph1" localSheetId="47" hidden="1">'[1]NOTOWANIAod-01.09.1995'!#REF!</definedName>
    <definedName name="__123Graph_CGraph1" localSheetId="48" hidden="1">'[1]NOTOWANIAod-01.09.1995'!#REF!</definedName>
    <definedName name="__123Graph_CGraph1" localSheetId="49" hidden="1">'[1]NOTOWANIAod-01.09.1995'!#REF!</definedName>
    <definedName name="__123Graph_CGraph1" localSheetId="50" hidden="1">'[1]NOTOWANIAod-01.09.1995'!#REF!</definedName>
    <definedName name="__123Graph_CGraph1" localSheetId="51" hidden="1">'[1]NOTOWANIAod-01.09.1995'!#REF!</definedName>
    <definedName name="__123Graph_CGraph1" localSheetId="52" hidden="1">'[1]NOTOWANIAod-01.09.1995'!#REF!</definedName>
    <definedName name="__123Graph_CGraph1" localSheetId="12" hidden="1">'[1]NOTOWANIAod-01.09.1995'!#REF!</definedName>
    <definedName name="__123Graph_CGraph1" localSheetId="33" hidden="1">'[1]NOTOWANIAod-01.09.1995'!#REF!</definedName>
    <definedName name="__123Graph_CGraph1" localSheetId="10" hidden="1">'[1]NOTOWANIAod-01.09.1995'!#REF!</definedName>
    <definedName name="__123Graph_CGraph1" localSheetId="29" hidden="1">'[1]NOTOWANIAod-01.09.1995'!#REF!</definedName>
    <definedName name="__123Graph_CGraph1" localSheetId="27" hidden="1">'[1]NOTOWANIAod-01.09.1995'!#REF!</definedName>
    <definedName name="__123Graph_CGraph1" localSheetId="28" hidden="1">'[1]NOTOWANIAod-01.09.1995'!#REF!</definedName>
    <definedName name="__123Graph_CGraph1" localSheetId="8" hidden="1">'[1]NOTOWANIAod-01.09.1995'!#REF!</definedName>
    <definedName name="__123Graph_CGraph1" localSheetId="32" hidden="1">'[1]NOTOWANIAod-01.09.1995'!#REF!</definedName>
    <definedName name="__123Graph_CGraph1" localSheetId="11" hidden="1">'[1]NOTOWANIAod-01.09.1995'!#REF!</definedName>
    <definedName name="__123Graph_CGraph1" localSheetId="35" hidden="1">'[1]NOTOWANIAod-01.09.1995'!#REF!</definedName>
    <definedName name="__123Graph_CGraph1" localSheetId="7" hidden="1">'[1]NOTOWANIAod-01.09.1995'!#REF!</definedName>
    <definedName name="__123Graph_CGraph1" localSheetId="26" hidden="1">'[1]NOTOWANIAod-01.09.1995'!#REF!</definedName>
    <definedName name="__123Graph_CGraph1" localSheetId="23" hidden="1">'[1]NOTOWANIAod-01.09.1995'!#REF!</definedName>
    <definedName name="__123Graph_CGraph1" localSheetId="22" hidden="1">'[1]NOTOWANIAod-01.09.1995'!#REF!</definedName>
    <definedName name="__123Graph_CGraph1" localSheetId="31" hidden="1">'[1]NOTOWANIAod-01.09.1995'!#REF!</definedName>
    <definedName name="__123Graph_CGraph1" localSheetId="18" hidden="1">'[1]NOTOWANIAod-01.09.1995'!#REF!</definedName>
    <definedName name="__123Graph_CGraph1" localSheetId="54" hidden="1">'[1]NOTOWANIAod-01.09.1995'!#REF!</definedName>
    <definedName name="__123Graph_CGraph1" localSheetId="30" hidden="1">'[1]NOTOWANIAod-01.09.1995'!#REF!</definedName>
    <definedName name="__123Graph_CGraph1" localSheetId="14" hidden="1">'[1]NOTOWANIAod-01.09.1995'!#REF!</definedName>
    <definedName name="__123Graph_CGraph1" localSheetId="37" hidden="1">'[1]NOTOWANIAod-01.09.1995'!#REF!</definedName>
    <definedName name="__123Graph_CGraph1" localSheetId="38" hidden="1">'[1]NOTOWANIAod-01.09.1995'!#REF!</definedName>
    <definedName name="__123Graph_CGraph1" localSheetId="39" hidden="1">'[1]NOTOWANIAod-01.09.1995'!#REF!</definedName>
    <definedName name="__123Graph_CGraph1" localSheetId="2" hidden="1">'[1]NOTOWANIAod-01.09.1995'!#REF!</definedName>
    <definedName name="__123Graph_CGraph1" localSheetId="58" hidden="1">'[1]NOTOWANIAod-01.09.1995'!#REF!</definedName>
    <definedName name="__123Graph_CGraph1" localSheetId="56" hidden="1">'[1]NOTOWANIAod-01.09.1995'!#REF!</definedName>
    <definedName name="__123Graph_CGraph1" localSheetId="19" hidden="1">'[1]NOTOWANIAod-01.09.1995'!#REF!</definedName>
    <definedName name="__123Graph_CGraph1" localSheetId="9" hidden="1">'[1]NOTOWANIAod-01.09.1995'!#REF!</definedName>
    <definedName name="__123Graph_CGraph1" localSheetId="6" hidden="1">'[1]NOTOWANIAod-01.09.1995'!#REF!</definedName>
    <definedName name="__123Graph_CGraph1" localSheetId="17" hidden="1">'[1]NOTOWANIAod-01.09.1995'!#REF!</definedName>
    <definedName name="__123Graph_CGraph1" localSheetId="34" hidden="1">'[1]NOTOWANIAod-01.09.1995'!#REF!</definedName>
    <definedName name="__123Graph_CGraph1" hidden="1">'[1]NOTOWANIAod-01.09.1995'!#REF!</definedName>
    <definedName name="__123Graph_DGraph1" localSheetId="15" hidden="1">'[1]NOTOWANIAod-01.09.1995'!#REF!</definedName>
    <definedName name="__123Graph_DGraph1" localSheetId="40" hidden="1">'[1]NOTOWANIAod-01.09.1995'!#REF!</definedName>
    <definedName name="__123Graph_DGraph1" localSheetId="41" hidden="1">'[1]NOTOWANIAod-01.09.1995'!#REF!</definedName>
    <definedName name="__123Graph_DGraph1" localSheetId="42" hidden="1">'[1]NOTOWANIAod-01.09.1995'!#REF!</definedName>
    <definedName name="__123Graph_DGraph1" localSheetId="43" hidden="1">'[1]NOTOWANIAod-01.09.1995'!#REF!</definedName>
    <definedName name="__123Graph_DGraph1" localSheetId="16" hidden="1">'[1]NOTOWANIAod-01.09.1995'!#REF!</definedName>
    <definedName name="__123Graph_DGraph1" localSheetId="44" hidden="1">'[1]NOTOWANIAod-01.09.1995'!#REF!</definedName>
    <definedName name="__123Graph_DGraph1" localSheetId="45" hidden="1">'[1]NOTOWANIAod-01.09.1995'!#REF!</definedName>
    <definedName name="__123Graph_DGraph1" localSheetId="46" hidden="1">'[1]NOTOWANIAod-01.09.1995'!#REF!</definedName>
    <definedName name="__123Graph_DGraph1" localSheetId="47" hidden="1">'[1]NOTOWANIAod-01.09.1995'!#REF!</definedName>
    <definedName name="__123Graph_DGraph1" localSheetId="48" hidden="1">'[1]NOTOWANIAod-01.09.1995'!#REF!</definedName>
    <definedName name="__123Graph_DGraph1" localSheetId="49" hidden="1">'[1]NOTOWANIAod-01.09.1995'!#REF!</definedName>
    <definedName name="__123Graph_DGraph1" localSheetId="50" hidden="1">'[1]NOTOWANIAod-01.09.1995'!#REF!</definedName>
    <definedName name="__123Graph_DGraph1" localSheetId="51" hidden="1">'[1]NOTOWANIAod-01.09.1995'!#REF!</definedName>
    <definedName name="__123Graph_DGraph1" localSheetId="52" hidden="1">'[1]NOTOWANIAod-01.09.1995'!#REF!</definedName>
    <definedName name="__123Graph_DGraph1" localSheetId="12" hidden="1">'[1]NOTOWANIAod-01.09.1995'!#REF!</definedName>
    <definedName name="__123Graph_DGraph1" localSheetId="33" hidden="1">'[1]NOTOWANIAod-01.09.1995'!#REF!</definedName>
    <definedName name="__123Graph_DGraph1" localSheetId="10" hidden="1">'[1]NOTOWANIAod-01.09.1995'!#REF!</definedName>
    <definedName name="__123Graph_DGraph1" localSheetId="29" hidden="1">'[1]NOTOWANIAod-01.09.1995'!#REF!</definedName>
    <definedName name="__123Graph_DGraph1" localSheetId="27" hidden="1">'[1]NOTOWANIAod-01.09.1995'!#REF!</definedName>
    <definedName name="__123Graph_DGraph1" localSheetId="28" hidden="1">'[1]NOTOWANIAod-01.09.1995'!#REF!</definedName>
    <definedName name="__123Graph_DGraph1" localSheetId="8" hidden="1">'[1]NOTOWANIAod-01.09.1995'!#REF!</definedName>
    <definedName name="__123Graph_DGraph1" localSheetId="32" hidden="1">'[1]NOTOWANIAod-01.09.1995'!#REF!</definedName>
    <definedName name="__123Graph_DGraph1" localSheetId="11" hidden="1">'[1]NOTOWANIAod-01.09.1995'!#REF!</definedName>
    <definedName name="__123Graph_DGraph1" localSheetId="35" hidden="1">'[1]NOTOWANIAod-01.09.1995'!#REF!</definedName>
    <definedName name="__123Graph_DGraph1" localSheetId="7" hidden="1">'[1]NOTOWANIAod-01.09.1995'!#REF!</definedName>
    <definedName name="__123Graph_DGraph1" localSheetId="26" hidden="1">'[1]NOTOWANIAod-01.09.1995'!#REF!</definedName>
    <definedName name="__123Graph_DGraph1" localSheetId="23" hidden="1">'[1]NOTOWANIAod-01.09.1995'!#REF!</definedName>
    <definedName name="__123Graph_DGraph1" localSheetId="22" hidden="1">'[1]NOTOWANIAod-01.09.1995'!#REF!</definedName>
    <definedName name="__123Graph_DGraph1" localSheetId="31" hidden="1">'[1]NOTOWANIAod-01.09.1995'!#REF!</definedName>
    <definedName name="__123Graph_DGraph1" localSheetId="18" hidden="1">'[1]NOTOWANIAod-01.09.1995'!#REF!</definedName>
    <definedName name="__123Graph_DGraph1" localSheetId="54" hidden="1">'[1]NOTOWANIAod-01.09.1995'!#REF!</definedName>
    <definedName name="__123Graph_DGraph1" localSheetId="30" hidden="1">'[1]NOTOWANIAod-01.09.1995'!#REF!</definedName>
    <definedName name="__123Graph_DGraph1" localSheetId="14" hidden="1">'[1]NOTOWANIAod-01.09.1995'!#REF!</definedName>
    <definedName name="__123Graph_DGraph1" localSheetId="37" hidden="1">'[1]NOTOWANIAod-01.09.1995'!#REF!</definedName>
    <definedName name="__123Graph_DGraph1" localSheetId="38" hidden="1">'[1]NOTOWANIAod-01.09.1995'!#REF!</definedName>
    <definedName name="__123Graph_DGraph1" localSheetId="39" hidden="1">'[1]NOTOWANIAod-01.09.1995'!#REF!</definedName>
    <definedName name="__123Graph_DGraph1" localSheetId="2" hidden="1">'[1]NOTOWANIAod-01.09.1995'!#REF!</definedName>
    <definedName name="__123Graph_DGraph1" localSheetId="58" hidden="1">'[1]NOTOWANIAod-01.09.1995'!#REF!</definedName>
    <definedName name="__123Graph_DGraph1" localSheetId="56" hidden="1">'[1]NOTOWANIAod-01.09.1995'!#REF!</definedName>
    <definedName name="__123Graph_DGraph1" localSheetId="19" hidden="1">'[1]NOTOWANIAod-01.09.1995'!#REF!</definedName>
    <definedName name="__123Graph_DGraph1" localSheetId="9" hidden="1">'[1]NOTOWANIAod-01.09.1995'!#REF!</definedName>
    <definedName name="__123Graph_DGraph1" localSheetId="6" hidden="1">'[1]NOTOWANIAod-01.09.1995'!#REF!</definedName>
    <definedName name="__123Graph_DGraph1" localSheetId="17" hidden="1">'[1]NOTOWANIAod-01.09.1995'!#REF!</definedName>
    <definedName name="__123Graph_DGraph1" localSheetId="34" hidden="1">'[1]NOTOWANIAod-01.09.1995'!#REF!</definedName>
    <definedName name="__123Graph_DGraph1" hidden="1">'[1]NOTOWANIAod-01.09.1995'!#REF!</definedName>
    <definedName name="__123Graph_EGraph1" localSheetId="15" hidden="1">'[1]NOTOWANIAod-01.09.1995'!#REF!</definedName>
    <definedName name="__123Graph_EGraph1" localSheetId="40" hidden="1">'[1]NOTOWANIAod-01.09.1995'!#REF!</definedName>
    <definedName name="__123Graph_EGraph1" localSheetId="41" hidden="1">'[1]NOTOWANIAod-01.09.1995'!#REF!</definedName>
    <definedName name="__123Graph_EGraph1" localSheetId="42" hidden="1">'[1]NOTOWANIAod-01.09.1995'!#REF!</definedName>
    <definedName name="__123Graph_EGraph1" localSheetId="43" hidden="1">'[1]NOTOWANIAod-01.09.1995'!#REF!</definedName>
    <definedName name="__123Graph_EGraph1" localSheetId="16" hidden="1">'[1]NOTOWANIAod-01.09.1995'!#REF!</definedName>
    <definedName name="__123Graph_EGraph1" localSheetId="44" hidden="1">'[1]NOTOWANIAod-01.09.1995'!#REF!</definedName>
    <definedName name="__123Graph_EGraph1" localSheetId="45" hidden="1">'[1]NOTOWANIAod-01.09.1995'!#REF!</definedName>
    <definedName name="__123Graph_EGraph1" localSheetId="46" hidden="1">'[1]NOTOWANIAod-01.09.1995'!#REF!</definedName>
    <definedName name="__123Graph_EGraph1" localSheetId="47" hidden="1">'[1]NOTOWANIAod-01.09.1995'!#REF!</definedName>
    <definedName name="__123Graph_EGraph1" localSheetId="48" hidden="1">'[1]NOTOWANIAod-01.09.1995'!#REF!</definedName>
    <definedName name="__123Graph_EGraph1" localSheetId="49" hidden="1">'[1]NOTOWANIAod-01.09.1995'!#REF!</definedName>
    <definedName name="__123Graph_EGraph1" localSheetId="50" hidden="1">'[1]NOTOWANIAod-01.09.1995'!#REF!</definedName>
    <definedName name="__123Graph_EGraph1" localSheetId="51" hidden="1">'[1]NOTOWANIAod-01.09.1995'!#REF!</definedName>
    <definedName name="__123Graph_EGraph1" localSheetId="52" hidden="1">'[1]NOTOWANIAod-01.09.1995'!#REF!</definedName>
    <definedName name="__123Graph_EGraph1" localSheetId="12" hidden="1">'[1]NOTOWANIAod-01.09.1995'!#REF!</definedName>
    <definedName name="__123Graph_EGraph1" localSheetId="33" hidden="1">'[1]NOTOWANIAod-01.09.1995'!#REF!</definedName>
    <definedName name="__123Graph_EGraph1" localSheetId="10" hidden="1">'[1]NOTOWANIAod-01.09.1995'!#REF!</definedName>
    <definedName name="__123Graph_EGraph1" localSheetId="29" hidden="1">'[1]NOTOWANIAod-01.09.1995'!#REF!</definedName>
    <definedName name="__123Graph_EGraph1" localSheetId="27" hidden="1">'[1]NOTOWANIAod-01.09.1995'!#REF!</definedName>
    <definedName name="__123Graph_EGraph1" localSheetId="28" hidden="1">'[1]NOTOWANIAod-01.09.1995'!#REF!</definedName>
    <definedName name="__123Graph_EGraph1" localSheetId="8" hidden="1">'[1]NOTOWANIAod-01.09.1995'!#REF!</definedName>
    <definedName name="__123Graph_EGraph1" localSheetId="32" hidden="1">'[1]NOTOWANIAod-01.09.1995'!#REF!</definedName>
    <definedName name="__123Graph_EGraph1" localSheetId="11" hidden="1">'[1]NOTOWANIAod-01.09.1995'!#REF!</definedName>
    <definedName name="__123Graph_EGraph1" localSheetId="35" hidden="1">'[1]NOTOWANIAod-01.09.1995'!#REF!</definedName>
    <definedName name="__123Graph_EGraph1" localSheetId="7" hidden="1">'[1]NOTOWANIAod-01.09.1995'!#REF!</definedName>
    <definedName name="__123Graph_EGraph1" localSheetId="26" hidden="1">'[1]NOTOWANIAod-01.09.1995'!#REF!</definedName>
    <definedName name="__123Graph_EGraph1" localSheetId="23" hidden="1">'[1]NOTOWANIAod-01.09.1995'!#REF!</definedName>
    <definedName name="__123Graph_EGraph1" localSheetId="22" hidden="1">'[1]NOTOWANIAod-01.09.1995'!#REF!</definedName>
    <definedName name="__123Graph_EGraph1" localSheetId="31" hidden="1">'[1]NOTOWANIAod-01.09.1995'!#REF!</definedName>
    <definedName name="__123Graph_EGraph1" localSheetId="18" hidden="1">'[1]NOTOWANIAod-01.09.1995'!#REF!</definedName>
    <definedName name="__123Graph_EGraph1" localSheetId="54" hidden="1">'[1]NOTOWANIAod-01.09.1995'!#REF!</definedName>
    <definedName name="__123Graph_EGraph1" localSheetId="30" hidden="1">'[1]NOTOWANIAod-01.09.1995'!#REF!</definedName>
    <definedName name="__123Graph_EGraph1" localSheetId="14" hidden="1">'[1]NOTOWANIAod-01.09.1995'!#REF!</definedName>
    <definedName name="__123Graph_EGraph1" localSheetId="37" hidden="1">'[1]NOTOWANIAod-01.09.1995'!#REF!</definedName>
    <definedName name="__123Graph_EGraph1" localSheetId="38" hidden="1">'[1]NOTOWANIAod-01.09.1995'!#REF!</definedName>
    <definedName name="__123Graph_EGraph1" localSheetId="39" hidden="1">'[1]NOTOWANIAod-01.09.1995'!#REF!</definedName>
    <definedName name="__123Graph_EGraph1" localSheetId="2" hidden="1">'[1]NOTOWANIAod-01.09.1995'!#REF!</definedName>
    <definedName name="__123Graph_EGraph1" localSheetId="58" hidden="1">'[1]NOTOWANIAod-01.09.1995'!#REF!</definedName>
    <definedName name="__123Graph_EGraph1" localSheetId="56" hidden="1">'[1]NOTOWANIAod-01.09.1995'!#REF!</definedName>
    <definedName name="__123Graph_EGraph1" localSheetId="19" hidden="1">'[1]NOTOWANIAod-01.09.1995'!#REF!</definedName>
    <definedName name="__123Graph_EGraph1" localSheetId="9" hidden="1">'[1]NOTOWANIAod-01.09.1995'!#REF!</definedName>
    <definedName name="__123Graph_EGraph1" localSheetId="6" hidden="1">'[1]NOTOWANIAod-01.09.1995'!#REF!</definedName>
    <definedName name="__123Graph_EGraph1" localSheetId="17" hidden="1">'[1]NOTOWANIAod-01.09.1995'!#REF!</definedName>
    <definedName name="__123Graph_EGraph1" localSheetId="34" hidden="1">'[1]NOTOWANIAod-01.09.1995'!#REF!</definedName>
    <definedName name="__123Graph_EGraph1" hidden="1">'[1]NOTOWANIAod-01.09.1995'!#REF!</definedName>
    <definedName name="__123Graph_FGraph1" localSheetId="15" hidden="1">'[1]NOTOWANIAod-01.09.1995'!#REF!</definedName>
    <definedName name="__123Graph_FGraph1" localSheetId="40" hidden="1">'[1]NOTOWANIAod-01.09.1995'!#REF!</definedName>
    <definedName name="__123Graph_FGraph1" localSheetId="41" hidden="1">'[1]NOTOWANIAod-01.09.1995'!#REF!</definedName>
    <definedName name="__123Graph_FGraph1" localSheetId="42" hidden="1">'[1]NOTOWANIAod-01.09.1995'!#REF!</definedName>
    <definedName name="__123Graph_FGraph1" localSheetId="43" hidden="1">'[1]NOTOWANIAod-01.09.1995'!#REF!</definedName>
    <definedName name="__123Graph_FGraph1" localSheetId="16" hidden="1">'[1]NOTOWANIAod-01.09.1995'!#REF!</definedName>
    <definedName name="__123Graph_FGraph1" localSheetId="44" hidden="1">'[1]NOTOWANIAod-01.09.1995'!#REF!</definedName>
    <definedName name="__123Graph_FGraph1" localSheetId="45" hidden="1">'[1]NOTOWANIAod-01.09.1995'!#REF!</definedName>
    <definedName name="__123Graph_FGraph1" localSheetId="46" hidden="1">'[1]NOTOWANIAod-01.09.1995'!#REF!</definedName>
    <definedName name="__123Graph_FGraph1" localSheetId="47" hidden="1">'[1]NOTOWANIAod-01.09.1995'!#REF!</definedName>
    <definedName name="__123Graph_FGraph1" localSheetId="48" hidden="1">'[1]NOTOWANIAod-01.09.1995'!#REF!</definedName>
    <definedName name="__123Graph_FGraph1" localSheetId="49" hidden="1">'[1]NOTOWANIAod-01.09.1995'!#REF!</definedName>
    <definedName name="__123Graph_FGraph1" localSheetId="50" hidden="1">'[1]NOTOWANIAod-01.09.1995'!#REF!</definedName>
    <definedName name="__123Graph_FGraph1" localSheetId="51" hidden="1">'[1]NOTOWANIAod-01.09.1995'!#REF!</definedName>
    <definedName name="__123Graph_FGraph1" localSheetId="52" hidden="1">'[1]NOTOWANIAod-01.09.1995'!#REF!</definedName>
    <definedName name="__123Graph_FGraph1" localSheetId="12" hidden="1">'[1]NOTOWANIAod-01.09.1995'!#REF!</definedName>
    <definedName name="__123Graph_FGraph1" localSheetId="33" hidden="1">'[1]NOTOWANIAod-01.09.1995'!#REF!</definedName>
    <definedName name="__123Graph_FGraph1" localSheetId="10" hidden="1">'[1]NOTOWANIAod-01.09.1995'!#REF!</definedName>
    <definedName name="__123Graph_FGraph1" localSheetId="29" hidden="1">'[1]NOTOWANIAod-01.09.1995'!#REF!</definedName>
    <definedName name="__123Graph_FGraph1" localSheetId="27" hidden="1">'[1]NOTOWANIAod-01.09.1995'!#REF!</definedName>
    <definedName name="__123Graph_FGraph1" localSheetId="28" hidden="1">'[1]NOTOWANIAod-01.09.1995'!#REF!</definedName>
    <definedName name="__123Graph_FGraph1" localSheetId="8" hidden="1">'[1]NOTOWANIAod-01.09.1995'!#REF!</definedName>
    <definedName name="__123Graph_FGraph1" localSheetId="32" hidden="1">'[1]NOTOWANIAod-01.09.1995'!#REF!</definedName>
    <definedName name="__123Graph_FGraph1" localSheetId="11" hidden="1">'[1]NOTOWANIAod-01.09.1995'!#REF!</definedName>
    <definedName name="__123Graph_FGraph1" localSheetId="35" hidden="1">'[1]NOTOWANIAod-01.09.1995'!#REF!</definedName>
    <definedName name="__123Graph_FGraph1" localSheetId="7" hidden="1">'[1]NOTOWANIAod-01.09.1995'!#REF!</definedName>
    <definedName name="__123Graph_FGraph1" localSheetId="26" hidden="1">'[1]NOTOWANIAod-01.09.1995'!#REF!</definedName>
    <definedName name="__123Graph_FGraph1" localSheetId="23" hidden="1">'[1]NOTOWANIAod-01.09.1995'!#REF!</definedName>
    <definedName name="__123Graph_FGraph1" localSheetId="22" hidden="1">'[1]NOTOWANIAod-01.09.1995'!#REF!</definedName>
    <definedName name="__123Graph_FGraph1" localSheetId="31" hidden="1">'[1]NOTOWANIAod-01.09.1995'!#REF!</definedName>
    <definedName name="__123Graph_FGraph1" localSheetId="18" hidden="1">'[1]NOTOWANIAod-01.09.1995'!#REF!</definedName>
    <definedName name="__123Graph_FGraph1" localSheetId="54" hidden="1">'[1]NOTOWANIAod-01.09.1995'!#REF!</definedName>
    <definedName name="__123Graph_FGraph1" localSheetId="30" hidden="1">'[1]NOTOWANIAod-01.09.1995'!#REF!</definedName>
    <definedName name="__123Graph_FGraph1" localSheetId="14" hidden="1">'[1]NOTOWANIAod-01.09.1995'!#REF!</definedName>
    <definedName name="__123Graph_FGraph1" localSheetId="37" hidden="1">'[1]NOTOWANIAod-01.09.1995'!#REF!</definedName>
    <definedName name="__123Graph_FGraph1" localSheetId="38" hidden="1">'[1]NOTOWANIAod-01.09.1995'!#REF!</definedName>
    <definedName name="__123Graph_FGraph1" localSheetId="39" hidden="1">'[1]NOTOWANIAod-01.09.1995'!#REF!</definedName>
    <definedName name="__123Graph_FGraph1" localSheetId="2" hidden="1">'[1]NOTOWANIAod-01.09.1995'!#REF!</definedName>
    <definedName name="__123Graph_FGraph1" localSheetId="58" hidden="1">'[1]NOTOWANIAod-01.09.1995'!#REF!</definedName>
    <definedName name="__123Graph_FGraph1" localSheetId="56" hidden="1">'[1]NOTOWANIAod-01.09.1995'!#REF!</definedName>
    <definedName name="__123Graph_FGraph1" localSheetId="19" hidden="1">'[1]NOTOWANIAod-01.09.1995'!#REF!</definedName>
    <definedName name="__123Graph_FGraph1" localSheetId="9" hidden="1">'[1]NOTOWANIAod-01.09.1995'!#REF!</definedName>
    <definedName name="__123Graph_FGraph1" localSheetId="6" hidden="1">'[1]NOTOWANIAod-01.09.1995'!#REF!</definedName>
    <definedName name="__123Graph_FGraph1" localSheetId="17" hidden="1">'[1]NOTOWANIAod-01.09.1995'!#REF!</definedName>
    <definedName name="__123Graph_FGraph1" localSheetId="34" hidden="1">'[1]NOTOWANIAod-01.09.1995'!#REF!</definedName>
    <definedName name="__123Graph_FGraph1" hidden="1">'[1]NOTOWANIAod-01.09.1995'!#REF!</definedName>
    <definedName name="_1__123Graph_ACHART_1" localSheetId="15" hidden="1">#REF!</definedName>
    <definedName name="_1__123Graph_ACHART_1" localSheetId="41" hidden="1">#REF!</definedName>
    <definedName name="_1__123Graph_ACHART_1" localSheetId="42" hidden="1">#REF!</definedName>
    <definedName name="_1__123Graph_ACHART_1" localSheetId="43" hidden="1">#REF!</definedName>
    <definedName name="_1__123Graph_ACHART_1" localSheetId="16" hidden="1">#REF!</definedName>
    <definedName name="_1__123Graph_ACHART_1" localSheetId="45" hidden="1">#REF!</definedName>
    <definedName name="_1__123Graph_ACHART_1" localSheetId="46" hidden="1">#REF!</definedName>
    <definedName name="_1__123Graph_ACHART_1" localSheetId="47" hidden="1">#REF!</definedName>
    <definedName name="_1__123Graph_ACHART_1" localSheetId="48" hidden="1">#REF!</definedName>
    <definedName name="_1__123Graph_ACHART_1" localSheetId="49" hidden="1">#REF!</definedName>
    <definedName name="_1__123Graph_ACHART_1" localSheetId="50" hidden="1">#REF!</definedName>
    <definedName name="_1__123Graph_ACHART_1" localSheetId="51" hidden="1">#REF!</definedName>
    <definedName name="_1__123Graph_ACHART_1" localSheetId="52" hidden="1">#REF!</definedName>
    <definedName name="_1__123Graph_ACHART_1" localSheetId="10" hidden="1">#REF!</definedName>
    <definedName name="_1__123Graph_ACHART_1" localSheetId="27" hidden="1">#REF!</definedName>
    <definedName name="_1__123Graph_ACHART_1" localSheetId="28" hidden="1">#REF!</definedName>
    <definedName name="_1__123Graph_ACHART_1" localSheetId="8" hidden="1">#REF!</definedName>
    <definedName name="_1__123Graph_ACHART_1" localSheetId="32" hidden="1">#REF!</definedName>
    <definedName name="_1__123Graph_ACHART_1" localSheetId="11" hidden="1">#REF!</definedName>
    <definedName name="_1__123Graph_ACHART_1" localSheetId="35" hidden="1">#REF!</definedName>
    <definedName name="_1__123Graph_ACHART_1" localSheetId="7" hidden="1">#REF!</definedName>
    <definedName name="_1__123Graph_ACHART_1" localSheetId="26" hidden="1">#REF!</definedName>
    <definedName name="_1__123Graph_ACHART_1" localSheetId="23" hidden="1">#REF!</definedName>
    <definedName name="_1__123Graph_ACHART_1" localSheetId="22" hidden="1">#REF!</definedName>
    <definedName name="_1__123Graph_ACHART_1" localSheetId="31" hidden="1">#REF!</definedName>
    <definedName name="_1__123Graph_ACHART_1" localSheetId="18" hidden="1">#REF!</definedName>
    <definedName name="_1__123Graph_ACHART_1" localSheetId="54" hidden="1">#REF!</definedName>
    <definedName name="_1__123Graph_ACHART_1" localSheetId="30" hidden="1">#REF!</definedName>
    <definedName name="_1__123Graph_ACHART_1" localSheetId="14" hidden="1">#REF!</definedName>
    <definedName name="_1__123Graph_ACHART_1" localSheetId="38" hidden="1">#REF!</definedName>
    <definedName name="_1__123Graph_ACHART_1" localSheetId="39" hidden="1">#REF!</definedName>
    <definedName name="_1__123Graph_ACHART_1" localSheetId="2" hidden="1">#REF!</definedName>
    <definedName name="_1__123Graph_ACHART_1" localSheetId="58" hidden="1">#REF!</definedName>
    <definedName name="_1__123Graph_ACHART_1" localSheetId="56" hidden="1">#REF!</definedName>
    <definedName name="_1__123Graph_ACHART_1" localSheetId="19" hidden="1">#REF!</definedName>
    <definedName name="_1__123Graph_ACHART_1" localSheetId="9" hidden="1">#REF!</definedName>
    <definedName name="_1__123Graph_ACHART_1" localSheetId="6" hidden="1">#REF!</definedName>
    <definedName name="_1__123Graph_ACHART_1" localSheetId="17" hidden="1">#REF!</definedName>
    <definedName name="_1__123Graph_ACHART_1" hidden="1">#REF!</definedName>
    <definedName name="_10__123Graph_ACHART_23" localSheetId="15" hidden="1">#REF!</definedName>
    <definedName name="_10__123Graph_ACHART_23" localSheetId="41" hidden="1">#REF!</definedName>
    <definedName name="_10__123Graph_ACHART_23" localSheetId="42" hidden="1">#REF!</definedName>
    <definedName name="_10__123Graph_ACHART_23" localSheetId="43" hidden="1">#REF!</definedName>
    <definedName name="_10__123Graph_ACHART_23" localSheetId="16" hidden="1">#REF!</definedName>
    <definedName name="_10__123Graph_ACHART_23" localSheetId="45" hidden="1">#REF!</definedName>
    <definedName name="_10__123Graph_ACHART_23" localSheetId="46" hidden="1">#REF!</definedName>
    <definedName name="_10__123Graph_ACHART_23" localSheetId="47" hidden="1">#REF!</definedName>
    <definedName name="_10__123Graph_ACHART_23" localSheetId="48" hidden="1">#REF!</definedName>
    <definedName name="_10__123Graph_ACHART_23" localSheetId="49" hidden="1">#REF!</definedName>
    <definedName name="_10__123Graph_ACHART_23" localSheetId="50" hidden="1">#REF!</definedName>
    <definedName name="_10__123Graph_ACHART_23" localSheetId="51" hidden="1">#REF!</definedName>
    <definedName name="_10__123Graph_ACHART_23" localSheetId="52" hidden="1">#REF!</definedName>
    <definedName name="_10__123Graph_ACHART_23" localSheetId="10" hidden="1">#REF!</definedName>
    <definedName name="_10__123Graph_ACHART_23" localSheetId="27" hidden="1">#REF!</definedName>
    <definedName name="_10__123Graph_ACHART_23" localSheetId="28" hidden="1">#REF!</definedName>
    <definedName name="_10__123Graph_ACHART_23" localSheetId="8" hidden="1">#REF!</definedName>
    <definedName name="_10__123Graph_ACHART_23" localSheetId="32" hidden="1">#REF!</definedName>
    <definedName name="_10__123Graph_ACHART_23" localSheetId="11" hidden="1">#REF!</definedName>
    <definedName name="_10__123Graph_ACHART_23" localSheetId="35" hidden="1">#REF!</definedName>
    <definedName name="_10__123Graph_ACHART_23" localSheetId="7" hidden="1">#REF!</definedName>
    <definedName name="_10__123Graph_ACHART_23" localSheetId="25" hidden="1">#REF!</definedName>
    <definedName name="_10__123Graph_ACHART_23" localSheetId="26" hidden="1">#REF!</definedName>
    <definedName name="_10__123Graph_ACHART_23" localSheetId="23" hidden="1">#REF!</definedName>
    <definedName name="_10__123Graph_ACHART_23" localSheetId="22" hidden="1">#REF!</definedName>
    <definedName name="_10__123Graph_ACHART_23" localSheetId="31" hidden="1">#REF!</definedName>
    <definedName name="_10__123Graph_ACHART_23" localSheetId="18" hidden="1">#REF!</definedName>
    <definedName name="_10__123Graph_ACHART_23" localSheetId="54" hidden="1">#REF!</definedName>
    <definedName name="_10__123Graph_ACHART_23" localSheetId="30" hidden="1">#REF!</definedName>
    <definedName name="_10__123Graph_ACHART_23" localSheetId="14" hidden="1">#REF!</definedName>
    <definedName name="_10__123Graph_ACHART_23" localSheetId="38" hidden="1">#REF!</definedName>
    <definedName name="_10__123Graph_ACHART_23" localSheetId="39" hidden="1">#REF!</definedName>
    <definedName name="_10__123Graph_ACHART_23" localSheetId="2" hidden="1">#REF!</definedName>
    <definedName name="_10__123Graph_ACHART_23" localSheetId="58" hidden="1">#REF!</definedName>
    <definedName name="_10__123Graph_ACHART_23" localSheetId="56" hidden="1">#REF!</definedName>
    <definedName name="_10__123Graph_ACHART_23" localSheetId="19" hidden="1">#REF!</definedName>
    <definedName name="_10__123Graph_ACHART_23" localSheetId="9" hidden="1">#REF!</definedName>
    <definedName name="_10__123Graph_ACHART_23" localSheetId="6" hidden="1">#REF!</definedName>
    <definedName name="_10__123Graph_ACHART_23" localSheetId="17" hidden="1">#REF!</definedName>
    <definedName name="_10__123Graph_ACHART_23" hidden="1">#REF!</definedName>
    <definedName name="_11__123Graph_ACHART_24" localSheetId="15" hidden="1">#REF!</definedName>
    <definedName name="_11__123Graph_ACHART_24" localSheetId="41" hidden="1">#REF!</definedName>
    <definedName name="_11__123Graph_ACHART_24" localSheetId="42" hidden="1">#REF!</definedName>
    <definedName name="_11__123Graph_ACHART_24" localSheetId="43" hidden="1">#REF!</definedName>
    <definedName name="_11__123Graph_ACHART_24" localSheetId="16" hidden="1">#REF!</definedName>
    <definedName name="_11__123Graph_ACHART_24" localSheetId="45" hidden="1">#REF!</definedName>
    <definedName name="_11__123Graph_ACHART_24" localSheetId="46" hidden="1">#REF!</definedName>
    <definedName name="_11__123Graph_ACHART_24" localSheetId="47" hidden="1">#REF!</definedName>
    <definedName name="_11__123Graph_ACHART_24" localSheetId="48" hidden="1">#REF!</definedName>
    <definedName name="_11__123Graph_ACHART_24" localSheetId="49" hidden="1">#REF!</definedName>
    <definedName name="_11__123Graph_ACHART_24" localSheetId="50" hidden="1">#REF!</definedName>
    <definedName name="_11__123Graph_ACHART_24" localSheetId="51" hidden="1">#REF!</definedName>
    <definedName name="_11__123Graph_ACHART_24" localSheetId="52" hidden="1">#REF!</definedName>
    <definedName name="_11__123Graph_ACHART_24" localSheetId="10" hidden="1">#REF!</definedName>
    <definedName name="_11__123Graph_ACHART_24" localSheetId="27" hidden="1">#REF!</definedName>
    <definedName name="_11__123Graph_ACHART_24" localSheetId="28" hidden="1">#REF!</definedName>
    <definedName name="_11__123Graph_ACHART_24" localSheetId="8" hidden="1">#REF!</definedName>
    <definedName name="_11__123Graph_ACHART_24" localSheetId="32" hidden="1">#REF!</definedName>
    <definedName name="_11__123Graph_ACHART_24" localSheetId="11" hidden="1">#REF!</definedName>
    <definedName name="_11__123Graph_ACHART_24" localSheetId="35" hidden="1">#REF!</definedName>
    <definedName name="_11__123Graph_ACHART_24" localSheetId="7" hidden="1">#REF!</definedName>
    <definedName name="_11__123Graph_ACHART_24" localSheetId="25" hidden="1">#REF!</definedName>
    <definedName name="_11__123Graph_ACHART_24" localSheetId="26" hidden="1">#REF!</definedName>
    <definedName name="_11__123Graph_ACHART_24" localSheetId="23" hidden="1">#REF!</definedName>
    <definedName name="_11__123Graph_ACHART_24" localSheetId="22" hidden="1">#REF!</definedName>
    <definedName name="_11__123Graph_ACHART_24" localSheetId="31" hidden="1">#REF!</definedName>
    <definedName name="_11__123Graph_ACHART_24" localSheetId="18" hidden="1">#REF!</definedName>
    <definedName name="_11__123Graph_ACHART_24" localSheetId="54" hidden="1">#REF!</definedName>
    <definedName name="_11__123Graph_ACHART_24" localSheetId="30" hidden="1">#REF!</definedName>
    <definedName name="_11__123Graph_ACHART_24" localSheetId="14" hidden="1">#REF!</definedName>
    <definedName name="_11__123Graph_ACHART_24" localSheetId="38" hidden="1">#REF!</definedName>
    <definedName name="_11__123Graph_ACHART_24" localSheetId="39" hidden="1">#REF!</definedName>
    <definedName name="_11__123Graph_ACHART_24" localSheetId="2" hidden="1">#REF!</definedName>
    <definedName name="_11__123Graph_ACHART_24" localSheetId="58" hidden="1">#REF!</definedName>
    <definedName name="_11__123Graph_ACHART_24" localSheetId="56" hidden="1">#REF!</definedName>
    <definedName name="_11__123Graph_ACHART_24" localSheetId="19" hidden="1">#REF!</definedName>
    <definedName name="_11__123Graph_ACHART_24" localSheetId="9" hidden="1">#REF!</definedName>
    <definedName name="_11__123Graph_ACHART_24" localSheetId="6" hidden="1">#REF!</definedName>
    <definedName name="_11__123Graph_ACHART_24" localSheetId="17" hidden="1">#REF!</definedName>
    <definedName name="_11__123Graph_ACHART_24" hidden="1">#REF!</definedName>
    <definedName name="_12__123Graph_ACHART_25" localSheetId="15" hidden="1">#REF!</definedName>
    <definedName name="_12__123Graph_ACHART_25" localSheetId="41" hidden="1">#REF!</definedName>
    <definedName name="_12__123Graph_ACHART_25" localSheetId="42" hidden="1">#REF!</definedName>
    <definedName name="_12__123Graph_ACHART_25" localSheetId="43" hidden="1">#REF!</definedName>
    <definedName name="_12__123Graph_ACHART_25" localSheetId="16" hidden="1">#REF!</definedName>
    <definedName name="_12__123Graph_ACHART_25" localSheetId="45" hidden="1">#REF!</definedName>
    <definedName name="_12__123Graph_ACHART_25" localSheetId="46" hidden="1">#REF!</definedName>
    <definedName name="_12__123Graph_ACHART_25" localSheetId="47" hidden="1">#REF!</definedName>
    <definedName name="_12__123Graph_ACHART_25" localSheetId="48" hidden="1">#REF!</definedName>
    <definedName name="_12__123Graph_ACHART_25" localSheetId="49" hidden="1">#REF!</definedName>
    <definedName name="_12__123Graph_ACHART_25" localSheetId="50" hidden="1">#REF!</definedName>
    <definedName name="_12__123Graph_ACHART_25" localSheetId="51" hidden="1">#REF!</definedName>
    <definedName name="_12__123Graph_ACHART_25" localSheetId="52" hidden="1">#REF!</definedName>
    <definedName name="_12__123Graph_ACHART_25" localSheetId="10" hidden="1">#REF!</definedName>
    <definedName name="_12__123Graph_ACHART_25" localSheetId="27" hidden="1">#REF!</definedName>
    <definedName name="_12__123Graph_ACHART_25" localSheetId="28" hidden="1">#REF!</definedName>
    <definedName name="_12__123Graph_ACHART_25" localSheetId="8" hidden="1">#REF!</definedName>
    <definedName name="_12__123Graph_ACHART_25" localSheetId="32" hidden="1">#REF!</definedName>
    <definedName name="_12__123Graph_ACHART_25" localSheetId="11" hidden="1">#REF!</definedName>
    <definedName name="_12__123Graph_ACHART_25" localSheetId="35" hidden="1">#REF!</definedName>
    <definedName name="_12__123Graph_ACHART_25" localSheetId="7" hidden="1">#REF!</definedName>
    <definedName name="_12__123Graph_ACHART_25" localSheetId="25" hidden="1">#REF!</definedName>
    <definedName name="_12__123Graph_ACHART_25" localSheetId="26" hidden="1">#REF!</definedName>
    <definedName name="_12__123Graph_ACHART_25" localSheetId="23" hidden="1">#REF!</definedName>
    <definedName name="_12__123Graph_ACHART_25" localSheetId="22" hidden="1">#REF!</definedName>
    <definedName name="_12__123Graph_ACHART_25" localSheetId="31" hidden="1">#REF!</definedName>
    <definedName name="_12__123Graph_ACHART_25" localSheetId="18" hidden="1">#REF!</definedName>
    <definedName name="_12__123Graph_ACHART_25" localSheetId="54" hidden="1">#REF!</definedName>
    <definedName name="_12__123Graph_ACHART_25" localSheetId="30" hidden="1">#REF!</definedName>
    <definedName name="_12__123Graph_ACHART_25" localSheetId="14" hidden="1">#REF!</definedName>
    <definedName name="_12__123Graph_ACHART_25" localSheetId="38" hidden="1">#REF!</definedName>
    <definedName name="_12__123Graph_ACHART_25" localSheetId="39" hidden="1">#REF!</definedName>
    <definedName name="_12__123Graph_ACHART_25" localSheetId="2" hidden="1">#REF!</definedName>
    <definedName name="_12__123Graph_ACHART_25" localSheetId="58" hidden="1">#REF!</definedName>
    <definedName name="_12__123Graph_ACHART_25" localSheetId="56" hidden="1">#REF!</definedName>
    <definedName name="_12__123Graph_ACHART_25" localSheetId="19" hidden="1">#REF!</definedName>
    <definedName name="_12__123Graph_ACHART_25" localSheetId="9" hidden="1">#REF!</definedName>
    <definedName name="_12__123Graph_ACHART_25" localSheetId="6" hidden="1">#REF!</definedName>
    <definedName name="_12__123Graph_ACHART_25" localSheetId="17" hidden="1">#REF!</definedName>
    <definedName name="_12__123Graph_ACHART_25" hidden="1">#REF!</definedName>
    <definedName name="_13__123Graph_ACHART_26" localSheetId="15" hidden="1">#REF!</definedName>
    <definedName name="_13__123Graph_ACHART_26" localSheetId="41" hidden="1">#REF!</definedName>
    <definedName name="_13__123Graph_ACHART_26" localSheetId="42" hidden="1">#REF!</definedName>
    <definedName name="_13__123Graph_ACHART_26" localSheetId="43" hidden="1">#REF!</definedName>
    <definedName name="_13__123Graph_ACHART_26" localSheetId="16" hidden="1">#REF!</definedName>
    <definedName name="_13__123Graph_ACHART_26" localSheetId="45" hidden="1">#REF!</definedName>
    <definedName name="_13__123Graph_ACHART_26" localSheetId="46" hidden="1">#REF!</definedName>
    <definedName name="_13__123Graph_ACHART_26" localSheetId="47" hidden="1">#REF!</definedName>
    <definedName name="_13__123Graph_ACHART_26" localSheetId="48" hidden="1">#REF!</definedName>
    <definedName name="_13__123Graph_ACHART_26" localSheetId="49" hidden="1">#REF!</definedName>
    <definedName name="_13__123Graph_ACHART_26" localSheetId="50" hidden="1">#REF!</definedName>
    <definedName name="_13__123Graph_ACHART_26" localSheetId="51" hidden="1">#REF!</definedName>
    <definedName name="_13__123Graph_ACHART_26" localSheetId="52" hidden="1">#REF!</definedName>
    <definedName name="_13__123Graph_ACHART_26" localSheetId="10" hidden="1">#REF!</definedName>
    <definedName name="_13__123Graph_ACHART_26" localSheetId="27" hidden="1">#REF!</definedName>
    <definedName name="_13__123Graph_ACHART_26" localSheetId="28" hidden="1">#REF!</definedName>
    <definedName name="_13__123Graph_ACHART_26" localSheetId="8" hidden="1">#REF!</definedName>
    <definedName name="_13__123Graph_ACHART_26" localSheetId="32" hidden="1">#REF!</definedName>
    <definedName name="_13__123Graph_ACHART_26" localSheetId="11" hidden="1">#REF!</definedName>
    <definedName name="_13__123Graph_ACHART_26" localSheetId="35" hidden="1">#REF!</definedName>
    <definedName name="_13__123Graph_ACHART_26" localSheetId="7" hidden="1">#REF!</definedName>
    <definedName name="_13__123Graph_ACHART_26" localSheetId="25" hidden="1">#REF!</definedName>
    <definedName name="_13__123Graph_ACHART_26" localSheetId="26" hidden="1">#REF!</definedName>
    <definedName name="_13__123Graph_ACHART_26" localSheetId="23" hidden="1">#REF!</definedName>
    <definedName name="_13__123Graph_ACHART_26" localSheetId="22" hidden="1">#REF!</definedName>
    <definedName name="_13__123Graph_ACHART_26" localSheetId="31" hidden="1">#REF!</definedName>
    <definedName name="_13__123Graph_ACHART_26" localSheetId="18" hidden="1">#REF!</definedName>
    <definedName name="_13__123Graph_ACHART_26" localSheetId="54" hidden="1">#REF!</definedName>
    <definedName name="_13__123Graph_ACHART_26" localSheetId="30" hidden="1">#REF!</definedName>
    <definedName name="_13__123Graph_ACHART_26" localSheetId="14" hidden="1">#REF!</definedName>
    <definedName name="_13__123Graph_ACHART_26" localSheetId="38" hidden="1">#REF!</definedName>
    <definedName name="_13__123Graph_ACHART_26" localSheetId="39" hidden="1">#REF!</definedName>
    <definedName name="_13__123Graph_ACHART_26" localSheetId="2" hidden="1">#REF!</definedName>
    <definedName name="_13__123Graph_ACHART_26" localSheetId="58" hidden="1">#REF!</definedName>
    <definedName name="_13__123Graph_ACHART_26" localSheetId="56" hidden="1">#REF!</definedName>
    <definedName name="_13__123Graph_ACHART_26" localSheetId="19" hidden="1">#REF!</definedName>
    <definedName name="_13__123Graph_ACHART_26" localSheetId="9" hidden="1">#REF!</definedName>
    <definedName name="_13__123Graph_ACHART_26" localSheetId="6" hidden="1">#REF!</definedName>
    <definedName name="_13__123Graph_ACHART_26" localSheetId="17" hidden="1">#REF!</definedName>
    <definedName name="_13__123Graph_ACHART_26" hidden="1">#REF!</definedName>
    <definedName name="_14__123Graph_ACHART_27" localSheetId="15" hidden="1">#REF!</definedName>
    <definedName name="_14__123Graph_ACHART_27" localSheetId="41" hidden="1">#REF!</definedName>
    <definedName name="_14__123Graph_ACHART_27" localSheetId="42" hidden="1">#REF!</definedName>
    <definedName name="_14__123Graph_ACHART_27" localSheetId="43" hidden="1">#REF!</definedName>
    <definedName name="_14__123Graph_ACHART_27" localSheetId="16" hidden="1">#REF!</definedName>
    <definedName name="_14__123Graph_ACHART_27" localSheetId="45" hidden="1">#REF!</definedName>
    <definedName name="_14__123Graph_ACHART_27" localSheetId="46" hidden="1">#REF!</definedName>
    <definedName name="_14__123Graph_ACHART_27" localSheetId="47" hidden="1">#REF!</definedName>
    <definedName name="_14__123Graph_ACHART_27" localSheetId="48" hidden="1">#REF!</definedName>
    <definedName name="_14__123Graph_ACHART_27" localSheetId="49" hidden="1">#REF!</definedName>
    <definedName name="_14__123Graph_ACHART_27" localSheetId="50" hidden="1">#REF!</definedName>
    <definedName name="_14__123Graph_ACHART_27" localSheetId="51" hidden="1">#REF!</definedName>
    <definedName name="_14__123Graph_ACHART_27" localSheetId="52" hidden="1">#REF!</definedName>
    <definedName name="_14__123Graph_ACHART_27" localSheetId="10" hidden="1">#REF!</definedName>
    <definedName name="_14__123Graph_ACHART_27" localSheetId="27" hidden="1">#REF!</definedName>
    <definedName name="_14__123Graph_ACHART_27" localSheetId="28" hidden="1">#REF!</definedName>
    <definedName name="_14__123Graph_ACHART_27" localSheetId="8" hidden="1">#REF!</definedName>
    <definedName name="_14__123Graph_ACHART_27" localSheetId="32" hidden="1">#REF!</definedName>
    <definedName name="_14__123Graph_ACHART_27" localSheetId="11" hidden="1">#REF!</definedName>
    <definedName name="_14__123Graph_ACHART_27" localSheetId="35" hidden="1">#REF!</definedName>
    <definedName name="_14__123Graph_ACHART_27" localSheetId="7" hidden="1">#REF!</definedName>
    <definedName name="_14__123Graph_ACHART_27" localSheetId="25" hidden="1">#REF!</definedName>
    <definedName name="_14__123Graph_ACHART_27" localSheetId="26" hidden="1">#REF!</definedName>
    <definedName name="_14__123Graph_ACHART_27" localSheetId="23" hidden="1">#REF!</definedName>
    <definedName name="_14__123Graph_ACHART_27" localSheetId="22" hidden="1">#REF!</definedName>
    <definedName name="_14__123Graph_ACHART_27" localSheetId="31" hidden="1">#REF!</definedName>
    <definedName name="_14__123Graph_ACHART_27" localSheetId="18" hidden="1">#REF!</definedName>
    <definedName name="_14__123Graph_ACHART_27" localSheetId="54" hidden="1">#REF!</definedName>
    <definedName name="_14__123Graph_ACHART_27" localSheetId="30" hidden="1">#REF!</definedName>
    <definedName name="_14__123Graph_ACHART_27" localSheetId="14" hidden="1">#REF!</definedName>
    <definedName name="_14__123Graph_ACHART_27" localSheetId="38" hidden="1">#REF!</definedName>
    <definedName name="_14__123Graph_ACHART_27" localSheetId="39" hidden="1">#REF!</definedName>
    <definedName name="_14__123Graph_ACHART_27" localSheetId="2" hidden="1">#REF!</definedName>
    <definedName name="_14__123Graph_ACHART_27" localSheetId="58" hidden="1">#REF!</definedName>
    <definedName name="_14__123Graph_ACHART_27" localSheetId="56" hidden="1">#REF!</definedName>
    <definedName name="_14__123Graph_ACHART_27" localSheetId="19" hidden="1">#REF!</definedName>
    <definedName name="_14__123Graph_ACHART_27" localSheetId="9" hidden="1">#REF!</definedName>
    <definedName name="_14__123Graph_ACHART_27" localSheetId="6" hidden="1">#REF!</definedName>
    <definedName name="_14__123Graph_ACHART_27" localSheetId="17" hidden="1">#REF!</definedName>
    <definedName name="_14__123Graph_ACHART_27" hidden="1">#REF!</definedName>
    <definedName name="_15__123Graph_ACHART_28" localSheetId="15" hidden="1">#REF!</definedName>
    <definedName name="_15__123Graph_ACHART_28" localSheetId="41" hidden="1">#REF!</definedName>
    <definedName name="_15__123Graph_ACHART_28" localSheetId="42" hidden="1">#REF!</definedName>
    <definedName name="_15__123Graph_ACHART_28" localSheetId="43" hidden="1">#REF!</definedName>
    <definedName name="_15__123Graph_ACHART_28" localSheetId="16" hidden="1">#REF!</definedName>
    <definedName name="_15__123Graph_ACHART_28" localSheetId="45" hidden="1">#REF!</definedName>
    <definedName name="_15__123Graph_ACHART_28" localSheetId="46" hidden="1">#REF!</definedName>
    <definedName name="_15__123Graph_ACHART_28" localSheetId="47" hidden="1">#REF!</definedName>
    <definedName name="_15__123Graph_ACHART_28" localSheetId="48" hidden="1">#REF!</definedName>
    <definedName name="_15__123Graph_ACHART_28" localSheetId="49" hidden="1">#REF!</definedName>
    <definedName name="_15__123Graph_ACHART_28" localSheetId="50" hidden="1">#REF!</definedName>
    <definedName name="_15__123Graph_ACHART_28" localSheetId="51" hidden="1">#REF!</definedName>
    <definedName name="_15__123Graph_ACHART_28" localSheetId="52" hidden="1">#REF!</definedName>
    <definedName name="_15__123Graph_ACHART_28" localSheetId="10" hidden="1">#REF!</definedName>
    <definedName name="_15__123Graph_ACHART_28" localSheetId="27" hidden="1">#REF!</definedName>
    <definedName name="_15__123Graph_ACHART_28" localSheetId="28" hidden="1">#REF!</definedName>
    <definedName name="_15__123Graph_ACHART_28" localSheetId="8" hidden="1">#REF!</definedName>
    <definedName name="_15__123Graph_ACHART_28" localSheetId="32" hidden="1">#REF!</definedName>
    <definedName name="_15__123Graph_ACHART_28" localSheetId="11" hidden="1">#REF!</definedName>
    <definedName name="_15__123Graph_ACHART_28" localSheetId="35" hidden="1">#REF!</definedName>
    <definedName name="_15__123Graph_ACHART_28" localSheetId="7" hidden="1">#REF!</definedName>
    <definedName name="_15__123Graph_ACHART_28" localSheetId="25" hidden="1">#REF!</definedName>
    <definedName name="_15__123Graph_ACHART_28" localSheetId="26" hidden="1">#REF!</definedName>
    <definedName name="_15__123Graph_ACHART_28" localSheetId="23" hidden="1">#REF!</definedName>
    <definedName name="_15__123Graph_ACHART_28" localSheetId="22" hidden="1">#REF!</definedName>
    <definedName name="_15__123Graph_ACHART_28" localSheetId="31" hidden="1">#REF!</definedName>
    <definedName name="_15__123Graph_ACHART_28" localSheetId="18" hidden="1">#REF!</definedName>
    <definedName name="_15__123Graph_ACHART_28" localSheetId="54" hidden="1">#REF!</definedName>
    <definedName name="_15__123Graph_ACHART_28" localSheetId="30" hidden="1">#REF!</definedName>
    <definedName name="_15__123Graph_ACHART_28" localSheetId="14" hidden="1">#REF!</definedName>
    <definedName name="_15__123Graph_ACHART_28" localSheetId="38" hidden="1">#REF!</definedName>
    <definedName name="_15__123Graph_ACHART_28" localSheetId="39" hidden="1">#REF!</definedName>
    <definedName name="_15__123Graph_ACHART_28" localSheetId="2" hidden="1">#REF!</definedName>
    <definedName name="_15__123Graph_ACHART_28" localSheetId="58" hidden="1">#REF!</definedName>
    <definedName name="_15__123Graph_ACHART_28" localSheetId="56" hidden="1">#REF!</definedName>
    <definedName name="_15__123Graph_ACHART_28" localSheetId="19" hidden="1">#REF!</definedName>
    <definedName name="_15__123Graph_ACHART_28" localSheetId="9" hidden="1">#REF!</definedName>
    <definedName name="_15__123Graph_ACHART_28" localSheetId="6" hidden="1">#REF!</definedName>
    <definedName name="_15__123Graph_ACHART_28" localSheetId="17" hidden="1">#REF!</definedName>
    <definedName name="_15__123Graph_ACHART_28" hidden="1">#REF!</definedName>
    <definedName name="_16__123Graph_ACHART_29" localSheetId="15" hidden="1">#REF!</definedName>
    <definedName name="_16__123Graph_ACHART_29" localSheetId="41" hidden="1">#REF!</definedName>
    <definedName name="_16__123Graph_ACHART_29" localSheetId="42" hidden="1">#REF!</definedName>
    <definedName name="_16__123Graph_ACHART_29" localSheetId="43" hidden="1">#REF!</definedName>
    <definedName name="_16__123Graph_ACHART_29" localSheetId="16" hidden="1">#REF!</definedName>
    <definedName name="_16__123Graph_ACHART_29" localSheetId="45" hidden="1">#REF!</definedName>
    <definedName name="_16__123Graph_ACHART_29" localSheetId="46" hidden="1">#REF!</definedName>
    <definedName name="_16__123Graph_ACHART_29" localSheetId="47" hidden="1">#REF!</definedName>
    <definedName name="_16__123Graph_ACHART_29" localSheetId="48" hidden="1">#REF!</definedName>
    <definedName name="_16__123Graph_ACHART_29" localSheetId="49" hidden="1">#REF!</definedName>
    <definedName name="_16__123Graph_ACHART_29" localSheetId="50" hidden="1">#REF!</definedName>
    <definedName name="_16__123Graph_ACHART_29" localSheetId="51" hidden="1">#REF!</definedName>
    <definedName name="_16__123Graph_ACHART_29" localSheetId="52" hidden="1">#REF!</definedName>
    <definedName name="_16__123Graph_ACHART_29" localSheetId="10" hidden="1">#REF!</definedName>
    <definedName name="_16__123Graph_ACHART_29" localSheetId="27" hidden="1">#REF!</definedName>
    <definedName name="_16__123Graph_ACHART_29" localSheetId="28" hidden="1">#REF!</definedName>
    <definedName name="_16__123Graph_ACHART_29" localSheetId="8" hidden="1">#REF!</definedName>
    <definedName name="_16__123Graph_ACHART_29" localSheetId="32" hidden="1">#REF!</definedName>
    <definedName name="_16__123Graph_ACHART_29" localSheetId="11" hidden="1">#REF!</definedName>
    <definedName name="_16__123Graph_ACHART_29" localSheetId="35" hidden="1">#REF!</definedName>
    <definedName name="_16__123Graph_ACHART_29" localSheetId="7" hidden="1">#REF!</definedName>
    <definedName name="_16__123Graph_ACHART_29" localSheetId="25" hidden="1">#REF!</definedName>
    <definedName name="_16__123Graph_ACHART_29" localSheetId="26" hidden="1">#REF!</definedName>
    <definedName name="_16__123Graph_ACHART_29" localSheetId="23" hidden="1">#REF!</definedName>
    <definedName name="_16__123Graph_ACHART_29" localSheetId="22" hidden="1">#REF!</definedName>
    <definedName name="_16__123Graph_ACHART_29" localSheetId="31" hidden="1">#REF!</definedName>
    <definedName name="_16__123Graph_ACHART_29" localSheetId="18" hidden="1">#REF!</definedName>
    <definedName name="_16__123Graph_ACHART_29" localSheetId="54" hidden="1">#REF!</definedName>
    <definedName name="_16__123Graph_ACHART_29" localSheetId="30" hidden="1">#REF!</definedName>
    <definedName name="_16__123Graph_ACHART_29" localSheetId="14" hidden="1">#REF!</definedName>
    <definedName name="_16__123Graph_ACHART_29" localSheetId="38" hidden="1">#REF!</definedName>
    <definedName name="_16__123Graph_ACHART_29" localSheetId="39" hidden="1">#REF!</definedName>
    <definedName name="_16__123Graph_ACHART_29" localSheetId="2" hidden="1">#REF!</definedName>
    <definedName name="_16__123Graph_ACHART_29" localSheetId="58" hidden="1">#REF!</definedName>
    <definedName name="_16__123Graph_ACHART_29" localSheetId="56" hidden="1">#REF!</definedName>
    <definedName name="_16__123Graph_ACHART_29" localSheetId="19" hidden="1">#REF!</definedName>
    <definedName name="_16__123Graph_ACHART_29" localSheetId="9" hidden="1">#REF!</definedName>
    <definedName name="_16__123Graph_ACHART_29" localSheetId="6" hidden="1">#REF!</definedName>
    <definedName name="_16__123Graph_ACHART_29" localSheetId="17" hidden="1">#REF!</definedName>
    <definedName name="_16__123Graph_ACHART_29" hidden="1">#REF!</definedName>
    <definedName name="_17__123Graph_ACHART_3" localSheetId="15" hidden="1">#REF!</definedName>
    <definedName name="_17__123Graph_ACHART_3" localSheetId="41" hidden="1">#REF!</definedName>
    <definedName name="_17__123Graph_ACHART_3" localSheetId="42" hidden="1">#REF!</definedName>
    <definedName name="_17__123Graph_ACHART_3" localSheetId="43" hidden="1">#REF!</definedName>
    <definedName name="_17__123Graph_ACHART_3" localSheetId="16" hidden="1">#REF!</definedName>
    <definedName name="_17__123Graph_ACHART_3" localSheetId="45" hidden="1">#REF!</definedName>
    <definedName name="_17__123Graph_ACHART_3" localSheetId="46" hidden="1">#REF!</definedName>
    <definedName name="_17__123Graph_ACHART_3" localSheetId="47" hidden="1">#REF!</definedName>
    <definedName name="_17__123Graph_ACHART_3" localSheetId="48" hidden="1">#REF!</definedName>
    <definedName name="_17__123Graph_ACHART_3" localSheetId="49" hidden="1">#REF!</definedName>
    <definedName name="_17__123Graph_ACHART_3" localSheetId="50" hidden="1">#REF!</definedName>
    <definedName name="_17__123Graph_ACHART_3" localSheetId="51" hidden="1">#REF!</definedName>
    <definedName name="_17__123Graph_ACHART_3" localSheetId="52" hidden="1">#REF!</definedName>
    <definedName name="_17__123Graph_ACHART_3" localSheetId="10" hidden="1">#REF!</definedName>
    <definedName name="_17__123Graph_ACHART_3" localSheetId="27" hidden="1">#REF!</definedName>
    <definedName name="_17__123Graph_ACHART_3" localSheetId="28" hidden="1">#REF!</definedName>
    <definedName name="_17__123Graph_ACHART_3" localSheetId="8" hidden="1">#REF!</definedName>
    <definedName name="_17__123Graph_ACHART_3" localSheetId="32" hidden="1">#REF!</definedName>
    <definedName name="_17__123Graph_ACHART_3" localSheetId="11" hidden="1">#REF!</definedName>
    <definedName name="_17__123Graph_ACHART_3" localSheetId="35" hidden="1">#REF!</definedName>
    <definedName name="_17__123Graph_ACHART_3" localSheetId="7" hidden="1">#REF!</definedName>
    <definedName name="_17__123Graph_ACHART_3" localSheetId="25" hidden="1">#REF!</definedName>
    <definedName name="_17__123Graph_ACHART_3" localSheetId="26" hidden="1">#REF!</definedName>
    <definedName name="_17__123Graph_ACHART_3" localSheetId="23" hidden="1">#REF!</definedName>
    <definedName name="_17__123Graph_ACHART_3" localSheetId="22" hidden="1">#REF!</definedName>
    <definedName name="_17__123Graph_ACHART_3" localSheetId="31" hidden="1">#REF!</definedName>
    <definedName name="_17__123Graph_ACHART_3" localSheetId="18" hidden="1">#REF!</definedName>
    <definedName name="_17__123Graph_ACHART_3" localSheetId="54" hidden="1">#REF!</definedName>
    <definedName name="_17__123Graph_ACHART_3" localSheetId="30" hidden="1">#REF!</definedName>
    <definedName name="_17__123Graph_ACHART_3" localSheetId="14" hidden="1">#REF!</definedName>
    <definedName name="_17__123Graph_ACHART_3" localSheetId="38" hidden="1">#REF!</definedName>
    <definedName name="_17__123Graph_ACHART_3" localSheetId="39" hidden="1">#REF!</definedName>
    <definedName name="_17__123Graph_ACHART_3" localSheetId="2" hidden="1">#REF!</definedName>
    <definedName name="_17__123Graph_ACHART_3" localSheetId="58" hidden="1">#REF!</definedName>
    <definedName name="_17__123Graph_ACHART_3" localSheetId="56" hidden="1">#REF!</definedName>
    <definedName name="_17__123Graph_ACHART_3" localSheetId="19" hidden="1">#REF!</definedName>
    <definedName name="_17__123Graph_ACHART_3" localSheetId="9" hidden="1">#REF!</definedName>
    <definedName name="_17__123Graph_ACHART_3" localSheetId="6" hidden="1">#REF!</definedName>
    <definedName name="_17__123Graph_ACHART_3" localSheetId="17" hidden="1">#REF!</definedName>
    <definedName name="_17__123Graph_ACHART_3" hidden="1">#REF!</definedName>
    <definedName name="_18__123Graph_ACHART_30" localSheetId="15" hidden="1">#REF!</definedName>
    <definedName name="_18__123Graph_ACHART_30" localSheetId="41" hidden="1">#REF!</definedName>
    <definedName name="_18__123Graph_ACHART_30" localSheetId="42" hidden="1">#REF!</definedName>
    <definedName name="_18__123Graph_ACHART_30" localSheetId="43" hidden="1">#REF!</definedName>
    <definedName name="_18__123Graph_ACHART_30" localSheetId="16" hidden="1">#REF!</definedName>
    <definedName name="_18__123Graph_ACHART_30" localSheetId="45" hidden="1">#REF!</definedName>
    <definedName name="_18__123Graph_ACHART_30" localSheetId="46" hidden="1">#REF!</definedName>
    <definedName name="_18__123Graph_ACHART_30" localSheetId="47" hidden="1">#REF!</definedName>
    <definedName name="_18__123Graph_ACHART_30" localSheetId="48" hidden="1">#REF!</definedName>
    <definedName name="_18__123Graph_ACHART_30" localSheetId="49" hidden="1">#REF!</definedName>
    <definedName name="_18__123Graph_ACHART_30" localSheetId="50" hidden="1">#REF!</definedName>
    <definedName name="_18__123Graph_ACHART_30" localSheetId="51" hidden="1">#REF!</definedName>
    <definedName name="_18__123Graph_ACHART_30" localSheetId="52" hidden="1">#REF!</definedName>
    <definedName name="_18__123Graph_ACHART_30" localSheetId="10" hidden="1">#REF!</definedName>
    <definedName name="_18__123Graph_ACHART_30" localSheetId="27" hidden="1">#REF!</definedName>
    <definedName name="_18__123Graph_ACHART_30" localSheetId="28" hidden="1">#REF!</definedName>
    <definedName name="_18__123Graph_ACHART_30" localSheetId="8" hidden="1">#REF!</definedName>
    <definedName name="_18__123Graph_ACHART_30" localSheetId="32" hidden="1">#REF!</definedName>
    <definedName name="_18__123Graph_ACHART_30" localSheetId="11" hidden="1">#REF!</definedName>
    <definedName name="_18__123Graph_ACHART_30" localSheetId="35" hidden="1">#REF!</definedName>
    <definedName name="_18__123Graph_ACHART_30" localSheetId="7" hidden="1">#REF!</definedName>
    <definedName name="_18__123Graph_ACHART_30" localSheetId="25" hidden="1">#REF!</definedName>
    <definedName name="_18__123Graph_ACHART_30" localSheetId="26" hidden="1">#REF!</definedName>
    <definedName name="_18__123Graph_ACHART_30" localSheetId="23" hidden="1">#REF!</definedName>
    <definedName name="_18__123Graph_ACHART_30" localSheetId="22" hidden="1">#REF!</definedName>
    <definedName name="_18__123Graph_ACHART_30" localSheetId="31" hidden="1">#REF!</definedName>
    <definedName name="_18__123Graph_ACHART_30" localSheetId="18" hidden="1">#REF!</definedName>
    <definedName name="_18__123Graph_ACHART_30" localSheetId="54" hidden="1">#REF!</definedName>
    <definedName name="_18__123Graph_ACHART_30" localSheetId="30" hidden="1">#REF!</definedName>
    <definedName name="_18__123Graph_ACHART_30" localSheetId="14" hidden="1">#REF!</definedName>
    <definedName name="_18__123Graph_ACHART_30" localSheetId="38" hidden="1">#REF!</definedName>
    <definedName name="_18__123Graph_ACHART_30" localSheetId="39" hidden="1">#REF!</definedName>
    <definedName name="_18__123Graph_ACHART_30" localSheetId="2" hidden="1">#REF!</definedName>
    <definedName name="_18__123Graph_ACHART_30" localSheetId="58" hidden="1">#REF!</definedName>
    <definedName name="_18__123Graph_ACHART_30" localSheetId="56" hidden="1">#REF!</definedName>
    <definedName name="_18__123Graph_ACHART_30" localSheetId="19" hidden="1">#REF!</definedName>
    <definedName name="_18__123Graph_ACHART_30" localSheetId="9" hidden="1">#REF!</definedName>
    <definedName name="_18__123Graph_ACHART_30" localSheetId="6" hidden="1">#REF!</definedName>
    <definedName name="_18__123Graph_ACHART_30" localSheetId="17" hidden="1">#REF!</definedName>
    <definedName name="_18__123Graph_ACHART_30" hidden="1">#REF!</definedName>
    <definedName name="_19__123Graph_ACHART_31" localSheetId="15" hidden="1">#REF!</definedName>
    <definedName name="_19__123Graph_ACHART_31" localSheetId="41" hidden="1">#REF!</definedName>
    <definedName name="_19__123Graph_ACHART_31" localSheetId="42" hidden="1">#REF!</definedName>
    <definedName name="_19__123Graph_ACHART_31" localSheetId="43" hidden="1">#REF!</definedName>
    <definedName name="_19__123Graph_ACHART_31" localSheetId="16" hidden="1">#REF!</definedName>
    <definedName name="_19__123Graph_ACHART_31" localSheetId="45" hidden="1">#REF!</definedName>
    <definedName name="_19__123Graph_ACHART_31" localSheetId="46" hidden="1">#REF!</definedName>
    <definedName name="_19__123Graph_ACHART_31" localSheetId="47" hidden="1">#REF!</definedName>
    <definedName name="_19__123Graph_ACHART_31" localSheetId="48" hidden="1">#REF!</definedName>
    <definedName name="_19__123Graph_ACHART_31" localSheetId="49" hidden="1">#REF!</definedName>
    <definedName name="_19__123Graph_ACHART_31" localSheetId="50" hidden="1">#REF!</definedName>
    <definedName name="_19__123Graph_ACHART_31" localSheetId="51" hidden="1">#REF!</definedName>
    <definedName name="_19__123Graph_ACHART_31" localSheetId="52" hidden="1">#REF!</definedName>
    <definedName name="_19__123Graph_ACHART_31" localSheetId="10" hidden="1">#REF!</definedName>
    <definedName name="_19__123Graph_ACHART_31" localSheetId="27" hidden="1">#REF!</definedName>
    <definedName name="_19__123Graph_ACHART_31" localSheetId="28" hidden="1">#REF!</definedName>
    <definedName name="_19__123Graph_ACHART_31" localSheetId="8" hidden="1">#REF!</definedName>
    <definedName name="_19__123Graph_ACHART_31" localSheetId="32" hidden="1">#REF!</definedName>
    <definedName name="_19__123Graph_ACHART_31" localSheetId="11" hidden="1">#REF!</definedName>
    <definedName name="_19__123Graph_ACHART_31" localSheetId="35" hidden="1">#REF!</definedName>
    <definedName name="_19__123Graph_ACHART_31" localSheetId="7" hidden="1">#REF!</definedName>
    <definedName name="_19__123Graph_ACHART_31" localSheetId="25" hidden="1">#REF!</definedName>
    <definedName name="_19__123Graph_ACHART_31" localSheetId="26" hidden="1">#REF!</definedName>
    <definedName name="_19__123Graph_ACHART_31" localSheetId="23" hidden="1">#REF!</definedName>
    <definedName name="_19__123Graph_ACHART_31" localSheetId="22" hidden="1">#REF!</definedName>
    <definedName name="_19__123Graph_ACHART_31" localSheetId="31" hidden="1">#REF!</definedName>
    <definedName name="_19__123Graph_ACHART_31" localSheetId="18" hidden="1">#REF!</definedName>
    <definedName name="_19__123Graph_ACHART_31" localSheetId="54" hidden="1">#REF!</definedName>
    <definedName name="_19__123Graph_ACHART_31" localSheetId="30" hidden="1">#REF!</definedName>
    <definedName name="_19__123Graph_ACHART_31" localSheetId="14" hidden="1">#REF!</definedName>
    <definedName name="_19__123Graph_ACHART_31" localSheetId="38" hidden="1">#REF!</definedName>
    <definedName name="_19__123Graph_ACHART_31" localSheetId="39" hidden="1">#REF!</definedName>
    <definedName name="_19__123Graph_ACHART_31" localSheetId="2" hidden="1">#REF!</definedName>
    <definedName name="_19__123Graph_ACHART_31" localSheetId="58" hidden="1">#REF!</definedName>
    <definedName name="_19__123Graph_ACHART_31" localSheetId="56" hidden="1">#REF!</definedName>
    <definedName name="_19__123Graph_ACHART_31" localSheetId="19" hidden="1">#REF!</definedName>
    <definedName name="_19__123Graph_ACHART_31" localSheetId="9" hidden="1">#REF!</definedName>
    <definedName name="_19__123Graph_ACHART_31" localSheetId="6" hidden="1">#REF!</definedName>
    <definedName name="_19__123Graph_ACHART_31" localSheetId="17" hidden="1">#REF!</definedName>
    <definedName name="_19__123Graph_ACHART_31" hidden="1">#REF!</definedName>
    <definedName name="_2__123Graph_ACHART_12" localSheetId="15" hidden="1">#REF!</definedName>
    <definedName name="_2__123Graph_ACHART_12" localSheetId="41" hidden="1">#REF!</definedName>
    <definedName name="_2__123Graph_ACHART_12" localSheetId="42" hidden="1">#REF!</definedName>
    <definedName name="_2__123Graph_ACHART_12" localSheetId="43" hidden="1">#REF!</definedName>
    <definedName name="_2__123Graph_ACHART_12" localSheetId="16" hidden="1">#REF!</definedName>
    <definedName name="_2__123Graph_ACHART_12" localSheetId="45" hidden="1">#REF!</definedName>
    <definedName name="_2__123Graph_ACHART_12" localSheetId="46" hidden="1">#REF!</definedName>
    <definedName name="_2__123Graph_ACHART_12" localSheetId="47" hidden="1">#REF!</definedName>
    <definedName name="_2__123Graph_ACHART_12" localSheetId="48" hidden="1">#REF!</definedName>
    <definedName name="_2__123Graph_ACHART_12" localSheetId="49" hidden="1">#REF!</definedName>
    <definedName name="_2__123Graph_ACHART_12" localSheetId="50" hidden="1">#REF!</definedName>
    <definedName name="_2__123Graph_ACHART_12" localSheetId="51" hidden="1">#REF!</definedName>
    <definedName name="_2__123Graph_ACHART_12" localSheetId="52" hidden="1">#REF!</definedName>
    <definedName name="_2__123Graph_ACHART_12" localSheetId="10" hidden="1">#REF!</definedName>
    <definedName name="_2__123Graph_ACHART_12" localSheetId="27" hidden="1">#REF!</definedName>
    <definedName name="_2__123Graph_ACHART_12" localSheetId="28" hidden="1">#REF!</definedName>
    <definedName name="_2__123Graph_ACHART_12" localSheetId="8" hidden="1">#REF!</definedName>
    <definedName name="_2__123Graph_ACHART_12" localSheetId="32" hidden="1">#REF!</definedName>
    <definedName name="_2__123Graph_ACHART_12" localSheetId="11" hidden="1">#REF!</definedName>
    <definedName name="_2__123Graph_ACHART_12" localSheetId="35" hidden="1">#REF!</definedName>
    <definedName name="_2__123Graph_ACHART_12" localSheetId="7" hidden="1">#REF!</definedName>
    <definedName name="_2__123Graph_ACHART_12" localSheetId="25" hidden="1">#REF!</definedName>
    <definedName name="_2__123Graph_ACHART_12" localSheetId="26" hidden="1">#REF!</definedName>
    <definedName name="_2__123Graph_ACHART_12" localSheetId="23" hidden="1">#REF!</definedName>
    <definedName name="_2__123Graph_ACHART_12" localSheetId="22" hidden="1">#REF!</definedName>
    <definedName name="_2__123Graph_ACHART_12" localSheetId="31" hidden="1">#REF!</definedName>
    <definedName name="_2__123Graph_ACHART_12" localSheetId="18" hidden="1">#REF!</definedName>
    <definedName name="_2__123Graph_ACHART_12" localSheetId="54" hidden="1">#REF!</definedName>
    <definedName name="_2__123Graph_ACHART_12" localSheetId="30" hidden="1">#REF!</definedName>
    <definedName name="_2__123Graph_ACHART_12" localSheetId="14" hidden="1">#REF!</definedName>
    <definedName name="_2__123Graph_ACHART_12" localSheetId="38" hidden="1">#REF!</definedName>
    <definedName name="_2__123Graph_ACHART_12" localSheetId="39" hidden="1">#REF!</definedName>
    <definedName name="_2__123Graph_ACHART_12" localSheetId="2" hidden="1">#REF!</definedName>
    <definedName name="_2__123Graph_ACHART_12" localSheetId="58" hidden="1">#REF!</definedName>
    <definedName name="_2__123Graph_ACHART_12" localSheetId="56" hidden="1">#REF!</definedName>
    <definedName name="_2__123Graph_ACHART_12" localSheetId="19" hidden="1">#REF!</definedName>
    <definedName name="_2__123Graph_ACHART_12" localSheetId="9" hidden="1">#REF!</definedName>
    <definedName name="_2__123Graph_ACHART_12" localSheetId="6" hidden="1">#REF!</definedName>
    <definedName name="_2__123Graph_ACHART_12" localSheetId="17" hidden="1">#REF!</definedName>
    <definedName name="_2__123Graph_ACHART_12" hidden="1">#REF!</definedName>
    <definedName name="_20__123Graph_ACHART_32" localSheetId="15" hidden="1">#REF!</definedName>
    <definedName name="_20__123Graph_ACHART_32" localSheetId="41" hidden="1">#REF!</definedName>
    <definedName name="_20__123Graph_ACHART_32" localSheetId="42" hidden="1">#REF!</definedName>
    <definedName name="_20__123Graph_ACHART_32" localSheetId="43" hidden="1">#REF!</definedName>
    <definedName name="_20__123Graph_ACHART_32" localSheetId="16" hidden="1">#REF!</definedName>
    <definedName name="_20__123Graph_ACHART_32" localSheetId="45" hidden="1">#REF!</definedName>
    <definedName name="_20__123Graph_ACHART_32" localSheetId="46" hidden="1">#REF!</definedName>
    <definedName name="_20__123Graph_ACHART_32" localSheetId="47" hidden="1">#REF!</definedName>
    <definedName name="_20__123Graph_ACHART_32" localSheetId="48" hidden="1">#REF!</definedName>
    <definedName name="_20__123Graph_ACHART_32" localSheetId="49" hidden="1">#REF!</definedName>
    <definedName name="_20__123Graph_ACHART_32" localSheetId="50" hidden="1">#REF!</definedName>
    <definedName name="_20__123Graph_ACHART_32" localSheetId="51" hidden="1">#REF!</definedName>
    <definedName name="_20__123Graph_ACHART_32" localSheetId="52" hidden="1">#REF!</definedName>
    <definedName name="_20__123Graph_ACHART_32" localSheetId="10" hidden="1">#REF!</definedName>
    <definedName name="_20__123Graph_ACHART_32" localSheetId="27" hidden="1">#REF!</definedName>
    <definedName name="_20__123Graph_ACHART_32" localSheetId="28" hidden="1">#REF!</definedName>
    <definedName name="_20__123Graph_ACHART_32" localSheetId="8" hidden="1">#REF!</definedName>
    <definedName name="_20__123Graph_ACHART_32" localSheetId="32" hidden="1">#REF!</definedName>
    <definedName name="_20__123Graph_ACHART_32" localSheetId="11" hidden="1">#REF!</definedName>
    <definedName name="_20__123Graph_ACHART_32" localSheetId="35" hidden="1">#REF!</definedName>
    <definedName name="_20__123Graph_ACHART_32" localSheetId="7" hidden="1">#REF!</definedName>
    <definedName name="_20__123Graph_ACHART_32" localSheetId="25" hidden="1">#REF!</definedName>
    <definedName name="_20__123Graph_ACHART_32" localSheetId="26" hidden="1">#REF!</definedName>
    <definedName name="_20__123Graph_ACHART_32" localSheetId="23" hidden="1">#REF!</definedName>
    <definedName name="_20__123Graph_ACHART_32" localSheetId="22" hidden="1">#REF!</definedName>
    <definedName name="_20__123Graph_ACHART_32" localSheetId="31" hidden="1">#REF!</definedName>
    <definedName name="_20__123Graph_ACHART_32" localSheetId="18" hidden="1">#REF!</definedName>
    <definedName name="_20__123Graph_ACHART_32" localSheetId="54" hidden="1">#REF!</definedName>
    <definedName name="_20__123Graph_ACHART_32" localSheetId="30" hidden="1">#REF!</definedName>
    <definedName name="_20__123Graph_ACHART_32" localSheetId="14" hidden="1">#REF!</definedName>
    <definedName name="_20__123Graph_ACHART_32" localSheetId="38" hidden="1">#REF!</definedName>
    <definedName name="_20__123Graph_ACHART_32" localSheetId="39" hidden="1">#REF!</definedName>
    <definedName name="_20__123Graph_ACHART_32" localSheetId="2" hidden="1">#REF!</definedName>
    <definedName name="_20__123Graph_ACHART_32" localSheetId="58" hidden="1">#REF!</definedName>
    <definedName name="_20__123Graph_ACHART_32" localSheetId="56" hidden="1">#REF!</definedName>
    <definedName name="_20__123Graph_ACHART_32" localSheetId="19" hidden="1">#REF!</definedName>
    <definedName name="_20__123Graph_ACHART_32" localSheetId="9" hidden="1">#REF!</definedName>
    <definedName name="_20__123Graph_ACHART_32" localSheetId="6" hidden="1">#REF!</definedName>
    <definedName name="_20__123Graph_ACHART_32" localSheetId="17" hidden="1">#REF!</definedName>
    <definedName name="_20__123Graph_ACHART_32" hidden="1">#REF!</definedName>
    <definedName name="_21__123Graph_ACHART_4" localSheetId="15" hidden="1">#REF!</definedName>
    <definedName name="_21__123Graph_ACHART_4" localSheetId="41" hidden="1">#REF!</definedName>
    <definedName name="_21__123Graph_ACHART_4" localSheetId="42" hidden="1">#REF!</definedName>
    <definedName name="_21__123Graph_ACHART_4" localSheetId="43" hidden="1">#REF!</definedName>
    <definedName name="_21__123Graph_ACHART_4" localSheetId="16" hidden="1">#REF!</definedName>
    <definedName name="_21__123Graph_ACHART_4" localSheetId="45" hidden="1">#REF!</definedName>
    <definedName name="_21__123Graph_ACHART_4" localSheetId="46" hidden="1">#REF!</definedName>
    <definedName name="_21__123Graph_ACHART_4" localSheetId="47" hidden="1">#REF!</definedName>
    <definedName name="_21__123Graph_ACHART_4" localSheetId="48" hidden="1">#REF!</definedName>
    <definedName name="_21__123Graph_ACHART_4" localSheetId="49" hidden="1">#REF!</definedName>
    <definedName name="_21__123Graph_ACHART_4" localSheetId="50" hidden="1">#REF!</definedName>
    <definedName name="_21__123Graph_ACHART_4" localSheetId="51" hidden="1">#REF!</definedName>
    <definedName name="_21__123Graph_ACHART_4" localSheetId="52" hidden="1">#REF!</definedName>
    <definedName name="_21__123Graph_ACHART_4" localSheetId="10" hidden="1">#REF!</definedName>
    <definedName name="_21__123Graph_ACHART_4" localSheetId="27" hidden="1">#REF!</definedName>
    <definedName name="_21__123Graph_ACHART_4" localSheetId="28" hidden="1">#REF!</definedName>
    <definedName name="_21__123Graph_ACHART_4" localSheetId="8" hidden="1">#REF!</definedName>
    <definedName name="_21__123Graph_ACHART_4" localSheetId="32" hidden="1">#REF!</definedName>
    <definedName name="_21__123Graph_ACHART_4" localSheetId="11" hidden="1">#REF!</definedName>
    <definedName name="_21__123Graph_ACHART_4" localSheetId="35" hidden="1">#REF!</definedName>
    <definedName name="_21__123Graph_ACHART_4" localSheetId="7" hidden="1">#REF!</definedName>
    <definedName name="_21__123Graph_ACHART_4" localSheetId="25" hidden="1">#REF!</definedName>
    <definedName name="_21__123Graph_ACHART_4" localSheetId="26" hidden="1">#REF!</definedName>
    <definedName name="_21__123Graph_ACHART_4" localSheetId="23" hidden="1">#REF!</definedName>
    <definedName name="_21__123Graph_ACHART_4" localSheetId="22" hidden="1">#REF!</definedName>
    <definedName name="_21__123Graph_ACHART_4" localSheetId="31" hidden="1">#REF!</definedName>
    <definedName name="_21__123Graph_ACHART_4" localSheetId="18" hidden="1">#REF!</definedName>
    <definedName name="_21__123Graph_ACHART_4" localSheetId="54" hidden="1">#REF!</definedName>
    <definedName name="_21__123Graph_ACHART_4" localSheetId="30" hidden="1">#REF!</definedName>
    <definedName name="_21__123Graph_ACHART_4" localSheetId="14" hidden="1">#REF!</definedName>
    <definedName name="_21__123Graph_ACHART_4" localSheetId="38" hidden="1">#REF!</definedName>
    <definedName name="_21__123Graph_ACHART_4" localSheetId="39" hidden="1">#REF!</definedName>
    <definedName name="_21__123Graph_ACHART_4" localSheetId="2" hidden="1">#REF!</definedName>
    <definedName name="_21__123Graph_ACHART_4" localSheetId="58" hidden="1">#REF!</definedName>
    <definedName name="_21__123Graph_ACHART_4" localSheetId="56" hidden="1">#REF!</definedName>
    <definedName name="_21__123Graph_ACHART_4" localSheetId="19" hidden="1">#REF!</definedName>
    <definedName name="_21__123Graph_ACHART_4" localSheetId="9" hidden="1">#REF!</definedName>
    <definedName name="_21__123Graph_ACHART_4" localSheetId="6" hidden="1">#REF!</definedName>
    <definedName name="_21__123Graph_ACHART_4" localSheetId="17" hidden="1">#REF!</definedName>
    <definedName name="_21__123Graph_ACHART_4" hidden="1">#REF!</definedName>
    <definedName name="_22__123Graph_ACHART_8" localSheetId="15" hidden="1">#REF!</definedName>
    <definedName name="_22__123Graph_ACHART_8" localSheetId="41" hidden="1">#REF!</definedName>
    <definedName name="_22__123Graph_ACHART_8" localSheetId="42" hidden="1">#REF!</definedName>
    <definedName name="_22__123Graph_ACHART_8" localSheetId="43" hidden="1">#REF!</definedName>
    <definedName name="_22__123Graph_ACHART_8" localSheetId="16" hidden="1">#REF!</definedName>
    <definedName name="_22__123Graph_ACHART_8" localSheetId="45" hidden="1">#REF!</definedName>
    <definedName name="_22__123Graph_ACHART_8" localSheetId="46" hidden="1">#REF!</definedName>
    <definedName name="_22__123Graph_ACHART_8" localSheetId="47" hidden="1">#REF!</definedName>
    <definedName name="_22__123Graph_ACHART_8" localSheetId="48" hidden="1">#REF!</definedName>
    <definedName name="_22__123Graph_ACHART_8" localSheetId="49" hidden="1">#REF!</definedName>
    <definedName name="_22__123Graph_ACHART_8" localSheetId="50" hidden="1">#REF!</definedName>
    <definedName name="_22__123Graph_ACHART_8" localSheetId="51" hidden="1">#REF!</definedName>
    <definedName name="_22__123Graph_ACHART_8" localSheetId="52" hidden="1">#REF!</definedName>
    <definedName name="_22__123Graph_ACHART_8" localSheetId="10" hidden="1">#REF!</definedName>
    <definedName name="_22__123Graph_ACHART_8" localSheetId="27" hidden="1">#REF!</definedName>
    <definedName name="_22__123Graph_ACHART_8" localSheetId="28" hidden="1">#REF!</definedName>
    <definedName name="_22__123Graph_ACHART_8" localSheetId="8" hidden="1">#REF!</definedName>
    <definedName name="_22__123Graph_ACHART_8" localSheetId="32" hidden="1">#REF!</definedName>
    <definedName name="_22__123Graph_ACHART_8" localSheetId="11" hidden="1">#REF!</definedName>
    <definedName name="_22__123Graph_ACHART_8" localSheetId="35" hidden="1">#REF!</definedName>
    <definedName name="_22__123Graph_ACHART_8" localSheetId="7" hidden="1">#REF!</definedName>
    <definedName name="_22__123Graph_ACHART_8" localSheetId="25" hidden="1">#REF!</definedName>
    <definedName name="_22__123Graph_ACHART_8" localSheetId="26" hidden="1">#REF!</definedName>
    <definedName name="_22__123Graph_ACHART_8" localSheetId="23" hidden="1">#REF!</definedName>
    <definedName name="_22__123Graph_ACHART_8" localSheetId="22" hidden="1">#REF!</definedName>
    <definedName name="_22__123Graph_ACHART_8" localSheetId="31" hidden="1">#REF!</definedName>
    <definedName name="_22__123Graph_ACHART_8" localSheetId="18" hidden="1">#REF!</definedName>
    <definedName name="_22__123Graph_ACHART_8" localSheetId="54" hidden="1">#REF!</definedName>
    <definedName name="_22__123Graph_ACHART_8" localSheetId="30" hidden="1">#REF!</definedName>
    <definedName name="_22__123Graph_ACHART_8" localSheetId="14" hidden="1">#REF!</definedName>
    <definedName name="_22__123Graph_ACHART_8" localSheetId="38" hidden="1">#REF!</definedName>
    <definedName name="_22__123Graph_ACHART_8" localSheetId="39" hidden="1">#REF!</definedName>
    <definedName name="_22__123Graph_ACHART_8" localSheetId="2" hidden="1">#REF!</definedName>
    <definedName name="_22__123Graph_ACHART_8" localSheetId="58" hidden="1">#REF!</definedName>
    <definedName name="_22__123Graph_ACHART_8" localSheetId="56" hidden="1">#REF!</definedName>
    <definedName name="_22__123Graph_ACHART_8" localSheetId="19" hidden="1">#REF!</definedName>
    <definedName name="_22__123Graph_ACHART_8" localSheetId="9" hidden="1">#REF!</definedName>
    <definedName name="_22__123Graph_ACHART_8" localSheetId="6" hidden="1">#REF!</definedName>
    <definedName name="_22__123Graph_ACHART_8" localSheetId="17" hidden="1">#REF!</definedName>
    <definedName name="_22__123Graph_ACHART_8" hidden="1">#REF!</definedName>
    <definedName name="_23__123Graph_BCHART_14" localSheetId="15" hidden="1">#REF!</definedName>
    <definedName name="_23__123Graph_BCHART_14" localSheetId="41" hidden="1">#REF!</definedName>
    <definedName name="_23__123Graph_BCHART_14" localSheetId="42" hidden="1">#REF!</definedName>
    <definedName name="_23__123Graph_BCHART_14" localSheetId="43" hidden="1">#REF!</definedName>
    <definedName name="_23__123Graph_BCHART_14" localSheetId="16" hidden="1">#REF!</definedName>
    <definedName name="_23__123Graph_BCHART_14" localSheetId="45" hidden="1">#REF!</definedName>
    <definedName name="_23__123Graph_BCHART_14" localSheetId="46" hidden="1">#REF!</definedName>
    <definedName name="_23__123Graph_BCHART_14" localSheetId="47" hidden="1">#REF!</definedName>
    <definedName name="_23__123Graph_BCHART_14" localSheetId="48" hidden="1">#REF!</definedName>
    <definedName name="_23__123Graph_BCHART_14" localSheetId="49" hidden="1">#REF!</definedName>
    <definedName name="_23__123Graph_BCHART_14" localSheetId="50" hidden="1">#REF!</definedName>
    <definedName name="_23__123Graph_BCHART_14" localSheetId="51" hidden="1">#REF!</definedName>
    <definedName name="_23__123Graph_BCHART_14" localSheetId="52" hidden="1">#REF!</definedName>
    <definedName name="_23__123Graph_BCHART_14" localSheetId="10" hidden="1">#REF!</definedName>
    <definedName name="_23__123Graph_BCHART_14" localSheetId="27" hidden="1">#REF!</definedName>
    <definedName name="_23__123Graph_BCHART_14" localSheetId="28" hidden="1">#REF!</definedName>
    <definedName name="_23__123Graph_BCHART_14" localSheetId="8" hidden="1">#REF!</definedName>
    <definedName name="_23__123Graph_BCHART_14" localSheetId="32" hidden="1">#REF!</definedName>
    <definedName name="_23__123Graph_BCHART_14" localSheetId="11" hidden="1">#REF!</definedName>
    <definedName name="_23__123Graph_BCHART_14" localSheetId="35" hidden="1">#REF!</definedName>
    <definedName name="_23__123Graph_BCHART_14" localSheetId="7" hidden="1">#REF!</definedName>
    <definedName name="_23__123Graph_BCHART_14" localSheetId="25" hidden="1">#REF!</definedName>
    <definedName name="_23__123Graph_BCHART_14" localSheetId="26" hidden="1">#REF!</definedName>
    <definedName name="_23__123Graph_BCHART_14" localSheetId="23" hidden="1">#REF!</definedName>
    <definedName name="_23__123Graph_BCHART_14" localSheetId="22" hidden="1">#REF!</definedName>
    <definedName name="_23__123Graph_BCHART_14" localSheetId="31" hidden="1">#REF!</definedName>
    <definedName name="_23__123Graph_BCHART_14" localSheetId="18" hidden="1">#REF!</definedName>
    <definedName name="_23__123Graph_BCHART_14" localSheetId="54" hidden="1">#REF!</definedName>
    <definedName name="_23__123Graph_BCHART_14" localSheetId="30" hidden="1">#REF!</definedName>
    <definedName name="_23__123Graph_BCHART_14" localSheetId="14" hidden="1">#REF!</definedName>
    <definedName name="_23__123Graph_BCHART_14" localSheetId="38" hidden="1">#REF!</definedName>
    <definedName name="_23__123Graph_BCHART_14" localSheetId="39" hidden="1">#REF!</definedName>
    <definedName name="_23__123Graph_BCHART_14" localSheetId="2" hidden="1">#REF!</definedName>
    <definedName name="_23__123Graph_BCHART_14" localSheetId="58" hidden="1">#REF!</definedName>
    <definedName name="_23__123Graph_BCHART_14" localSheetId="56" hidden="1">#REF!</definedName>
    <definedName name="_23__123Graph_BCHART_14" localSheetId="19" hidden="1">#REF!</definedName>
    <definedName name="_23__123Graph_BCHART_14" localSheetId="9" hidden="1">#REF!</definedName>
    <definedName name="_23__123Graph_BCHART_14" localSheetId="6" hidden="1">#REF!</definedName>
    <definedName name="_23__123Graph_BCHART_14" localSheetId="17" hidden="1">#REF!</definedName>
    <definedName name="_23__123Graph_BCHART_14" hidden="1">#REF!</definedName>
    <definedName name="_24__123Graph_BCHART_19" localSheetId="15" hidden="1">#REF!</definedName>
    <definedName name="_24__123Graph_BCHART_19" localSheetId="41" hidden="1">#REF!</definedName>
    <definedName name="_24__123Graph_BCHART_19" localSheetId="42" hidden="1">#REF!</definedName>
    <definedName name="_24__123Graph_BCHART_19" localSheetId="43" hidden="1">#REF!</definedName>
    <definedName name="_24__123Graph_BCHART_19" localSheetId="16" hidden="1">#REF!</definedName>
    <definedName name="_24__123Graph_BCHART_19" localSheetId="45" hidden="1">#REF!</definedName>
    <definedName name="_24__123Graph_BCHART_19" localSheetId="46" hidden="1">#REF!</definedName>
    <definedName name="_24__123Graph_BCHART_19" localSheetId="47" hidden="1">#REF!</definedName>
    <definedName name="_24__123Graph_BCHART_19" localSheetId="48" hidden="1">#REF!</definedName>
    <definedName name="_24__123Graph_BCHART_19" localSheetId="49" hidden="1">#REF!</definedName>
    <definedName name="_24__123Graph_BCHART_19" localSheetId="50" hidden="1">#REF!</definedName>
    <definedName name="_24__123Graph_BCHART_19" localSheetId="51" hidden="1">#REF!</definedName>
    <definedName name="_24__123Graph_BCHART_19" localSheetId="52" hidden="1">#REF!</definedName>
    <definedName name="_24__123Graph_BCHART_19" localSheetId="10" hidden="1">#REF!</definedName>
    <definedName name="_24__123Graph_BCHART_19" localSheetId="27" hidden="1">#REF!</definedName>
    <definedName name="_24__123Graph_BCHART_19" localSheetId="28" hidden="1">#REF!</definedName>
    <definedName name="_24__123Graph_BCHART_19" localSheetId="8" hidden="1">#REF!</definedName>
    <definedName name="_24__123Graph_BCHART_19" localSheetId="32" hidden="1">#REF!</definedName>
    <definedName name="_24__123Graph_BCHART_19" localSheetId="11" hidden="1">#REF!</definedName>
    <definedName name="_24__123Graph_BCHART_19" localSheetId="35" hidden="1">#REF!</definedName>
    <definedName name="_24__123Graph_BCHART_19" localSheetId="7" hidden="1">#REF!</definedName>
    <definedName name="_24__123Graph_BCHART_19" localSheetId="25" hidden="1">#REF!</definedName>
    <definedName name="_24__123Graph_BCHART_19" localSheetId="26" hidden="1">#REF!</definedName>
    <definedName name="_24__123Graph_BCHART_19" localSheetId="23" hidden="1">#REF!</definedName>
    <definedName name="_24__123Graph_BCHART_19" localSheetId="22" hidden="1">#REF!</definedName>
    <definedName name="_24__123Graph_BCHART_19" localSheetId="31" hidden="1">#REF!</definedName>
    <definedName name="_24__123Graph_BCHART_19" localSheetId="18" hidden="1">#REF!</definedName>
    <definedName name="_24__123Graph_BCHART_19" localSheetId="54" hidden="1">#REF!</definedName>
    <definedName name="_24__123Graph_BCHART_19" localSheetId="30" hidden="1">#REF!</definedName>
    <definedName name="_24__123Graph_BCHART_19" localSheetId="14" hidden="1">#REF!</definedName>
    <definedName name="_24__123Graph_BCHART_19" localSheetId="38" hidden="1">#REF!</definedName>
    <definedName name="_24__123Graph_BCHART_19" localSheetId="39" hidden="1">#REF!</definedName>
    <definedName name="_24__123Graph_BCHART_19" localSheetId="2" hidden="1">#REF!</definedName>
    <definedName name="_24__123Graph_BCHART_19" localSheetId="58" hidden="1">#REF!</definedName>
    <definedName name="_24__123Graph_BCHART_19" localSheetId="56" hidden="1">#REF!</definedName>
    <definedName name="_24__123Graph_BCHART_19" localSheetId="19" hidden="1">#REF!</definedName>
    <definedName name="_24__123Graph_BCHART_19" localSheetId="9" hidden="1">#REF!</definedName>
    <definedName name="_24__123Graph_BCHART_19" localSheetId="6" hidden="1">#REF!</definedName>
    <definedName name="_24__123Graph_BCHART_19" localSheetId="17" hidden="1">#REF!</definedName>
    <definedName name="_24__123Graph_BCHART_19" hidden="1">#REF!</definedName>
    <definedName name="_25__123Graph_BCHART_2" localSheetId="15" hidden="1">#REF!</definedName>
    <definedName name="_25__123Graph_BCHART_2" localSheetId="41" hidden="1">#REF!</definedName>
    <definedName name="_25__123Graph_BCHART_2" localSheetId="42" hidden="1">#REF!</definedName>
    <definedName name="_25__123Graph_BCHART_2" localSheetId="43" hidden="1">#REF!</definedName>
    <definedName name="_25__123Graph_BCHART_2" localSheetId="16" hidden="1">#REF!</definedName>
    <definedName name="_25__123Graph_BCHART_2" localSheetId="45" hidden="1">#REF!</definedName>
    <definedName name="_25__123Graph_BCHART_2" localSheetId="46" hidden="1">#REF!</definedName>
    <definedName name="_25__123Graph_BCHART_2" localSheetId="47" hidden="1">#REF!</definedName>
    <definedName name="_25__123Graph_BCHART_2" localSheetId="48" hidden="1">#REF!</definedName>
    <definedName name="_25__123Graph_BCHART_2" localSheetId="49" hidden="1">#REF!</definedName>
    <definedName name="_25__123Graph_BCHART_2" localSheetId="50" hidden="1">#REF!</definedName>
    <definedName name="_25__123Graph_BCHART_2" localSheetId="51" hidden="1">#REF!</definedName>
    <definedName name="_25__123Graph_BCHART_2" localSheetId="52" hidden="1">#REF!</definedName>
    <definedName name="_25__123Graph_BCHART_2" localSheetId="10" hidden="1">#REF!</definedName>
    <definedName name="_25__123Graph_BCHART_2" localSheetId="27" hidden="1">#REF!</definedName>
    <definedName name="_25__123Graph_BCHART_2" localSheetId="28" hidden="1">#REF!</definedName>
    <definedName name="_25__123Graph_BCHART_2" localSheetId="8" hidden="1">#REF!</definedName>
    <definedName name="_25__123Graph_BCHART_2" localSheetId="32" hidden="1">#REF!</definedName>
    <definedName name="_25__123Graph_BCHART_2" localSheetId="11" hidden="1">#REF!</definedName>
    <definedName name="_25__123Graph_BCHART_2" localSheetId="35" hidden="1">#REF!</definedName>
    <definedName name="_25__123Graph_BCHART_2" localSheetId="7" hidden="1">#REF!</definedName>
    <definedName name="_25__123Graph_BCHART_2" localSheetId="25" hidden="1">#REF!</definedName>
    <definedName name="_25__123Graph_BCHART_2" localSheetId="26" hidden="1">#REF!</definedName>
    <definedName name="_25__123Graph_BCHART_2" localSheetId="23" hidden="1">#REF!</definedName>
    <definedName name="_25__123Graph_BCHART_2" localSheetId="22" hidden="1">#REF!</definedName>
    <definedName name="_25__123Graph_BCHART_2" localSheetId="31" hidden="1">#REF!</definedName>
    <definedName name="_25__123Graph_BCHART_2" localSheetId="18" hidden="1">#REF!</definedName>
    <definedName name="_25__123Graph_BCHART_2" localSheetId="54" hidden="1">#REF!</definedName>
    <definedName name="_25__123Graph_BCHART_2" localSheetId="30" hidden="1">#REF!</definedName>
    <definedName name="_25__123Graph_BCHART_2" localSheetId="14" hidden="1">#REF!</definedName>
    <definedName name="_25__123Graph_BCHART_2" localSheetId="38" hidden="1">#REF!</definedName>
    <definedName name="_25__123Graph_BCHART_2" localSheetId="39" hidden="1">#REF!</definedName>
    <definedName name="_25__123Graph_BCHART_2" localSheetId="2" hidden="1">#REF!</definedName>
    <definedName name="_25__123Graph_BCHART_2" localSheetId="58" hidden="1">#REF!</definedName>
    <definedName name="_25__123Graph_BCHART_2" localSheetId="56" hidden="1">#REF!</definedName>
    <definedName name="_25__123Graph_BCHART_2" localSheetId="19" hidden="1">#REF!</definedName>
    <definedName name="_25__123Graph_BCHART_2" localSheetId="9" hidden="1">#REF!</definedName>
    <definedName name="_25__123Graph_BCHART_2" localSheetId="6" hidden="1">#REF!</definedName>
    <definedName name="_25__123Graph_BCHART_2" localSheetId="17" hidden="1">#REF!</definedName>
    <definedName name="_25__123Graph_BCHART_2" hidden="1">#REF!</definedName>
    <definedName name="_26__123Graph_BCHART_3" localSheetId="15" hidden="1">#REF!</definedName>
    <definedName name="_26__123Graph_BCHART_3" localSheetId="41" hidden="1">#REF!</definedName>
    <definedName name="_26__123Graph_BCHART_3" localSheetId="42" hidden="1">#REF!</definedName>
    <definedName name="_26__123Graph_BCHART_3" localSheetId="43" hidden="1">#REF!</definedName>
    <definedName name="_26__123Graph_BCHART_3" localSheetId="16" hidden="1">#REF!</definedName>
    <definedName name="_26__123Graph_BCHART_3" localSheetId="45" hidden="1">#REF!</definedName>
    <definedName name="_26__123Graph_BCHART_3" localSheetId="46" hidden="1">#REF!</definedName>
    <definedName name="_26__123Graph_BCHART_3" localSheetId="47" hidden="1">#REF!</definedName>
    <definedName name="_26__123Graph_BCHART_3" localSheetId="48" hidden="1">#REF!</definedName>
    <definedName name="_26__123Graph_BCHART_3" localSheetId="49" hidden="1">#REF!</definedName>
    <definedName name="_26__123Graph_BCHART_3" localSheetId="50" hidden="1">#REF!</definedName>
    <definedName name="_26__123Graph_BCHART_3" localSheetId="51" hidden="1">#REF!</definedName>
    <definedName name="_26__123Graph_BCHART_3" localSheetId="52" hidden="1">#REF!</definedName>
    <definedName name="_26__123Graph_BCHART_3" localSheetId="10" hidden="1">#REF!</definedName>
    <definedName name="_26__123Graph_BCHART_3" localSheetId="27" hidden="1">#REF!</definedName>
    <definedName name="_26__123Graph_BCHART_3" localSheetId="28" hidden="1">#REF!</definedName>
    <definedName name="_26__123Graph_BCHART_3" localSheetId="8" hidden="1">#REF!</definedName>
    <definedName name="_26__123Graph_BCHART_3" localSheetId="32" hidden="1">#REF!</definedName>
    <definedName name="_26__123Graph_BCHART_3" localSheetId="11" hidden="1">#REF!</definedName>
    <definedName name="_26__123Graph_BCHART_3" localSheetId="35" hidden="1">#REF!</definedName>
    <definedName name="_26__123Graph_BCHART_3" localSheetId="7" hidden="1">#REF!</definedName>
    <definedName name="_26__123Graph_BCHART_3" localSheetId="25" hidden="1">#REF!</definedName>
    <definedName name="_26__123Graph_BCHART_3" localSheetId="26" hidden="1">#REF!</definedName>
    <definedName name="_26__123Graph_BCHART_3" localSheetId="23" hidden="1">#REF!</definedName>
    <definedName name="_26__123Graph_BCHART_3" localSheetId="22" hidden="1">#REF!</definedName>
    <definedName name="_26__123Graph_BCHART_3" localSheetId="31" hidden="1">#REF!</definedName>
    <definedName name="_26__123Graph_BCHART_3" localSheetId="18" hidden="1">#REF!</definedName>
    <definedName name="_26__123Graph_BCHART_3" localSheetId="54" hidden="1">#REF!</definedName>
    <definedName name="_26__123Graph_BCHART_3" localSheetId="30" hidden="1">#REF!</definedName>
    <definedName name="_26__123Graph_BCHART_3" localSheetId="14" hidden="1">#REF!</definedName>
    <definedName name="_26__123Graph_BCHART_3" localSheetId="38" hidden="1">#REF!</definedName>
    <definedName name="_26__123Graph_BCHART_3" localSheetId="39" hidden="1">#REF!</definedName>
    <definedName name="_26__123Graph_BCHART_3" localSheetId="2" hidden="1">#REF!</definedName>
    <definedName name="_26__123Graph_BCHART_3" localSheetId="58" hidden="1">#REF!</definedName>
    <definedName name="_26__123Graph_BCHART_3" localSheetId="56" hidden="1">#REF!</definedName>
    <definedName name="_26__123Graph_BCHART_3" localSheetId="19" hidden="1">#REF!</definedName>
    <definedName name="_26__123Graph_BCHART_3" localSheetId="9" hidden="1">#REF!</definedName>
    <definedName name="_26__123Graph_BCHART_3" localSheetId="6" hidden="1">#REF!</definedName>
    <definedName name="_26__123Graph_BCHART_3" localSheetId="17" hidden="1">#REF!</definedName>
    <definedName name="_26__123Graph_BCHART_3" hidden="1">#REF!</definedName>
    <definedName name="_27__123Graph_BCHART_31" localSheetId="15" hidden="1">#REF!</definedName>
    <definedName name="_27__123Graph_BCHART_31" localSheetId="41" hidden="1">#REF!</definedName>
    <definedName name="_27__123Graph_BCHART_31" localSheetId="42" hidden="1">#REF!</definedName>
    <definedName name="_27__123Graph_BCHART_31" localSheetId="43" hidden="1">#REF!</definedName>
    <definedName name="_27__123Graph_BCHART_31" localSheetId="16" hidden="1">#REF!</definedName>
    <definedName name="_27__123Graph_BCHART_31" localSheetId="45" hidden="1">#REF!</definedName>
    <definedName name="_27__123Graph_BCHART_31" localSheetId="46" hidden="1">#REF!</definedName>
    <definedName name="_27__123Graph_BCHART_31" localSheetId="47" hidden="1">#REF!</definedName>
    <definedName name="_27__123Graph_BCHART_31" localSheetId="48" hidden="1">#REF!</definedName>
    <definedName name="_27__123Graph_BCHART_31" localSheetId="49" hidden="1">#REF!</definedName>
    <definedName name="_27__123Graph_BCHART_31" localSheetId="50" hidden="1">#REF!</definedName>
    <definedName name="_27__123Graph_BCHART_31" localSheetId="51" hidden="1">#REF!</definedName>
    <definedName name="_27__123Graph_BCHART_31" localSheetId="52" hidden="1">#REF!</definedName>
    <definedName name="_27__123Graph_BCHART_31" localSheetId="10" hidden="1">#REF!</definedName>
    <definedName name="_27__123Graph_BCHART_31" localSheetId="27" hidden="1">#REF!</definedName>
    <definedName name="_27__123Graph_BCHART_31" localSheetId="28" hidden="1">#REF!</definedName>
    <definedName name="_27__123Graph_BCHART_31" localSheetId="8" hidden="1">#REF!</definedName>
    <definedName name="_27__123Graph_BCHART_31" localSheetId="32" hidden="1">#REF!</definedName>
    <definedName name="_27__123Graph_BCHART_31" localSheetId="11" hidden="1">#REF!</definedName>
    <definedName name="_27__123Graph_BCHART_31" localSheetId="35" hidden="1">#REF!</definedName>
    <definedName name="_27__123Graph_BCHART_31" localSheetId="7" hidden="1">#REF!</definedName>
    <definedName name="_27__123Graph_BCHART_31" localSheetId="25" hidden="1">#REF!</definedName>
    <definedName name="_27__123Graph_BCHART_31" localSheetId="26" hidden="1">#REF!</definedName>
    <definedName name="_27__123Graph_BCHART_31" localSheetId="23" hidden="1">#REF!</definedName>
    <definedName name="_27__123Graph_BCHART_31" localSheetId="22" hidden="1">#REF!</definedName>
    <definedName name="_27__123Graph_BCHART_31" localSheetId="31" hidden="1">#REF!</definedName>
    <definedName name="_27__123Graph_BCHART_31" localSheetId="18" hidden="1">#REF!</definedName>
    <definedName name="_27__123Graph_BCHART_31" localSheetId="54" hidden="1">#REF!</definedName>
    <definedName name="_27__123Graph_BCHART_31" localSheetId="30" hidden="1">#REF!</definedName>
    <definedName name="_27__123Graph_BCHART_31" localSheetId="14" hidden="1">#REF!</definedName>
    <definedName name="_27__123Graph_BCHART_31" localSheetId="38" hidden="1">#REF!</definedName>
    <definedName name="_27__123Graph_BCHART_31" localSheetId="39" hidden="1">#REF!</definedName>
    <definedName name="_27__123Graph_BCHART_31" localSheetId="2" hidden="1">#REF!</definedName>
    <definedName name="_27__123Graph_BCHART_31" localSheetId="58" hidden="1">#REF!</definedName>
    <definedName name="_27__123Graph_BCHART_31" localSheetId="56" hidden="1">#REF!</definedName>
    <definedName name="_27__123Graph_BCHART_31" localSheetId="19" hidden="1">#REF!</definedName>
    <definedName name="_27__123Graph_BCHART_31" localSheetId="9" hidden="1">#REF!</definedName>
    <definedName name="_27__123Graph_BCHART_31" localSheetId="6" hidden="1">#REF!</definedName>
    <definedName name="_27__123Graph_BCHART_31" localSheetId="17" hidden="1">#REF!</definedName>
    <definedName name="_27__123Graph_BCHART_31" hidden="1">#REF!</definedName>
    <definedName name="_28__123Graph_BCHART_32" localSheetId="15" hidden="1">#REF!</definedName>
    <definedName name="_28__123Graph_BCHART_32" localSheetId="41" hidden="1">#REF!</definedName>
    <definedName name="_28__123Graph_BCHART_32" localSheetId="42" hidden="1">#REF!</definedName>
    <definedName name="_28__123Graph_BCHART_32" localSheetId="43" hidden="1">#REF!</definedName>
    <definedName name="_28__123Graph_BCHART_32" localSheetId="16" hidden="1">#REF!</definedName>
    <definedName name="_28__123Graph_BCHART_32" localSheetId="45" hidden="1">#REF!</definedName>
    <definedName name="_28__123Graph_BCHART_32" localSheetId="46" hidden="1">#REF!</definedName>
    <definedName name="_28__123Graph_BCHART_32" localSheetId="47" hidden="1">#REF!</definedName>
    <definedName name="_28__123Graph_BCHART_32" localSheetId="48" hidden="1">#REF!</definedName>
    <definedName name="_28__123Graph_BCHART_32" localSheetId="49" hidden="1">#REF!</definedName>
    <definedName name="_28__123Graph_BCHART_32" localSheetId="50" hidden="1">#REF!</definedName>
    <definedName name="_28__123Graph_BCHART_32" localSheetId="51" hidden="1">#REF!</definedName>
    <definedName name="_28__123Graph_BCHART_32" localSheetId="52" hidden="1">#REF!</definedName>
    <definedName name="_28__123Graph_BCHART_32" localSheetId="10" hidden="1">#REF!</definedName>
    <definedName name="_28__123Graph_BCHART_32" localSheetId="27" hidden="1">#REF!</definedName>
    <definedName name="_28__123Graph_BCHART_32" localSheetId="28" hidden="1">#REF!</definedName>
    <definedName name="_28__123Graph_BCHART_32" localSheetId="8" hidden="1">#REF!</definedName>
    <definedName name="_28__123Graph_BCHART_32" localSheetId="32" hidden="1">#REF!</definedName>
    <definedName name="_28__123Graph_BCHART_32" localSheetId="11" hidden="1">#REF!</definedName>
    <definedName name="_28__123Graph_BCHART_32" localSheetId="35" hidden="1">#REF!</definedName>
    <definedName name="_28__123Graph_BCHART_32" localSheetId="7" hidden="1">#REF!</definedName>
    <definedName name="_28__123Graph_BCHART_32" localSheetId="25" hidden="1">#REF!</definedName>
    <definedName name="_28__123Graph_BCHART_32" localSheetId="26" hidden="1">#REF!</definedName>
    <definedName name="_28__123Graph_BCHART_32" localSheetId="23" hidden="1">#REF!</definedName>
    <definedName name="_28__123Graph_BCHART_32" localSheetId="22" hidden="1">#REF!</definedName>
    <definedName name="_28__123Graph_BCHART_32" localSheetId="31" hidden="1">#REF!</definedName>
    <definedName name="_28__123Graph_BCHART_32" localSheetId="18" hidden="1">#REF!</definedName>
    <definedName name="_28__123Graph_BCHART_32" localSheetId="54" hidden="1">#REF!</definedName>
    <definedName name="_28__123Graph_BCHART_32" localSheetId="30" hidden="1">#REF!</definedName>
    <definedName name="_28__123Graph_BCHART_32" localSheetId="14" hidden="1">#REF!</definedName>
    <definedName name="_28__123Graph_BCHART_32" localSheetId="38" hidden="1">#REF!</definedName>
    <definedName name="_28__123Graph_BCHART_32" localSheetId="39" hidden="1">#REF!</definedName>
    <definedName name="_28__123Graph_BCHART_32" localSheetId="2" hidden="1">#REF!</definedName>
    <definedName name="_28__123Graph_BCHART_32" localSheetId="58" hidden="1">#REF!</definedName>
    <definedName name="_28__123Graph_BCHART_32" localSheetId="56" hidden="1">#REF!</definedName>
    <definedName name="_28__123Graph_BCHART_32" localSheetId="19" hidden="1">#REF!</definedName>
    <definedName name="_28__123Graph_BCHART_32" localSheetId="9" hidden="1">#REF!</definedName>
    <definedName name="_28__123Graph_BCHART_32" localSheetId="6" hidden="1">#REF!</definedName>
    <definedName name="_28__123Graph_BCHART_32" localSheetId="17" hidden="1">#REF!</definedName>
    <definedName name="_28__123Graph_BCHART_32" hidden="1">#REF!</definedName>
    <definedName name="_29__123Graph_BCHART_5" localSheetId="15" hidden="1">#REF!</definedName>
    <definedName name="_29__123Graph_BCHART_5" localSheetId="41" hidden="1">#REF!</definedName>
    <definedName name="_29__123Graph_BCHART_5" localSheetId="42" hidden="1">#REF!</definedName>
    <definedName name="_29__123Graph_BCHART_5" localSheetId="43" hidden="1">#REF!</definedName>
    <definedName name="_29__123Graph_BCHART_5" localSheetId="16" hidden="1">#REF!</definedName>
    <definedName name="_29__123Graph_BCHART_5" localSheetId="45" hidden="1">#REF!</definedName>
    <definedName name="_29__123Graph_BCHART_5" localSheetId="46" hidden="1">#REF!</definedName>
    <definedName name="_29__123Graph_BCHART_5" localSheetId="47" hidden="1">#REF!</definedName>
    <definedName name="_29__123Graph_BCHART_5" localSheetId="48" hidden="1">#REF!</definedName>
    <definedName name="_29__123Graph_BCHART_5" localSheetId="49" hidden="1">#REF!</definedName>
    <definedName name="_29__123Graph_BCHART_5" localSheetId="50" hidden="1">#REF!</definedName>
    <definedName name="_29__123Graph_BCHART_5" localSheetId="51" hidden="1">#REF!</definedName>
    <definedName name="_29__123Graph_BCHART_5" localSheetId="52" hidden="1">#REF!</definedName>
    <definedName name="_29__123Graph_BCHART_5" localSheetId="10" hidden="1">#REF!</definedName>
    <definedName name="_29__123Graph_BCHART_5" localSheetId="27" hidden="1">#REF!</definedName>
    <definedName name="_29__123Graph_BCHART_5" localSheetId="28" hidden="1">#REF!</definedName>
    <definedName name="_29__123Graph_BCHART_5" localSheetId="8" hidden="1">#REF!</definedName>
    <definedName name="_29__123Graph_BCHART_5" localSheetId="32" hidden="1">#REF!</definedName>
    <definedName name="_29__123Graph_BCHART_5" localSheetId="11" hidden="1">#REF!</definedName>
    <definedName name="_29__123Graph_BCHART_5" localSheetId="35" hidden="1">#REF!</definedName>
    <definedName name="_29__123Graph_BCHART_5" localSheetId="7" hidden="1">#REF!</definedName>
    <definedName name="_29__123Graph_BCHART_5" localSheetId="25" hidden="1">#REF!</definedName>
    <definedName name="_29__123Graph_BCHART_5" localSheetId="26" hidden="1">#REF!</definedName>
    <definedName name="_29__123Graph_BCHART_5" localSheetId="23" hidden="1">#REF!</definedName>
    <definedName name="_29__123Graph_BCHART_5" localSheetId="22" hidden="1">#REF!</definedName>
    <definedName name="_29__123Graph_BCHART_5" localSheetId="31" hidden="1">#REF!</definedName>
    <definedName name="_29__123Graph_BCHART_5" localSheetId="18" hidden="1">#REF!</definedName>
    <definedName name="_29__123Graph_BCHART_5" localSheetId="54" hidden="1">#REF!</definedName>
    <definedName name="_29__123Graph_BCHART_5" localSheetId="30" hidden="1">#REF!</definedName>
    <definedName name="_29__123Graph_BCHART_5" localSheetId="14" hidden="1">#REF!</definedName>
    <definedName name="_29__123Graph_BCHART_5" localSheetId="38" hidden="1">#REF!</definedName>
    <definedName name="_29__123Graph_BCHART_5" localSheetId="39" hidden="1">#REF!</definedName>
    <definedName name="_29__123Graph_BCHART_5" localSheetId="2" hidden="1">#REF!</definedName>
    <definedName name="_29__123Graph_BCHART_5" localSheetId="58" hidden="1">#REF!</definedName>
    <definedName name="_29__123Graph_BCHART_5" localSheetId="56" hidden="1">#REF!</definedName>
    <definedName name="_29__123Graph_BCHART_5" localSheetId="19" hidden="1">#REF!</definedName>
    <definedName name="_29__123Graph_BCHART_5" localSheetId="9" hidden="1">#REF!</definedName>
    <definedName name="_29__123Graph_BCHART_5" localSheetId="6" hidden="1">#REF!</definedName>
    <definedName name="_29__123Graph_BCHART_5" localSheetId="17" hidden="1">#REF!</definedName>
    <definedName name="_29__123Graph_BCHART_5" hidden="1">#REF!</definedName>
    <definedName name="_3__123Graph_ACHART_13" localSheetId="15" hidden="1">#REF!</definedName>
    <definedName name="_3__123Graph_ACHART_13" localSheetId="41" hidden="1">#REF!</definedName>
    <definedName name="_3__123Graph_ACHART_13" localSheetId="42" hidden="1">#REF!</definedName>
    <definedName name="_3__123Graph_ACHART_13" localSheetId="43" hidden="1">#REF!</definedName>
    <definedName name="_3__123Graph_ACHART_13" localSheetId="16" hidden="1">#REF!</definedName>
    <definedName name="_3__123Graph_ACHART_13" localSheetId="45" hidden="1">#REF!</definedName>
    <definedName name="_3__123Graph_ACHART_13" localSheetId="46" hidden="1">#REF!</definedName>
    <definedName name="_3__123Graph_ACHART_13" localSheetId="47" hidden="1">#REF!</definedName>
    <definedName name="_3__123Graph_ACHART_13" localSheetId="48" hidden="1">#REF!</definedName>
    <definedName name="_3__123Graph_ACHART_13" localSheetId="49" hidden="1">#REF!</definedName>
    <definedName name="_3__123Graph_ACHART_13" localSheetId="50" hidden="1">#REF!</definedName>
    <definedName name="_3__123Graph_ACHART_13" localSheetId="51" hidden="1">#REF!</definedName>
    <definedName name="_3__123Graph_ACHART_13" localSheetId="52" hidden="1">#REF!</definedName>
    <definedName name="_3__123Graph_ACHART_13" localSheetId="10" hidden="1">#REF!</definedName>
    <definedName name="_3__123Graph_ACHART_13" localSheetId="27" hidden="1">#REF!</definedName>
    <definedName name="_3__123Graph_ACHART_13" localSheetId="28" hidden="1">#REF!</definedName>
    <definedName name="_3__123Graph_ACHART_13" localSheetId="8" hidden="1">#REF!</definedName>
    <definedName name="_3__123Graph_ACHART_13" localSheetId="32" hidden="1">#REF!</definedName>
    <definedName name="_3__123Graph_ACHART_13" localSheetId="11" hidden="1">#REF!</definedName>
    <definedName name="_3__123Graph_ACHART_13" localSheetId="35" hidden="1">#REF!</definedName>
    <definedName name="_3__123Graph_ACHART_13" localSheetId="7" hidden="1">#REF!</definedName>
    <definedName name="_3__123Graph_ACHART_13" localSheetId="25" hidden="1">#REF!</definedName>
    <definedName name="_3__123Graph_ACHART_13" localSheetId="26" hidden="1">#REF!</definedName>
    <definedName name="_3__123Graph_ACHART_13" localSheetId="23" hidden="1">#REF!</definedName>
    <definedName name="_3__123Graph_ACHART_13" localSheetId="22" hidden="1">#REF!</definedName>
    <definedName name="_3__123Graph_ACHART_13" localSheetId="31" hidden="1">#REF!</definedName>
    <definedName name="_3__123Graph_ACHART_13" localSheetId="18" hidden="1">#REF!</definedName>
    <definedName name="_3__123Graph_ACHART_13" localSheetId="54" hidden="1">#REF!</definedName>
    <definedName name="_3__123Graph_ACHART_13" localSheetId="30" hidden="1">#REF!</definedName>
    <definedName name="_3__123Graph_ACHART_13" localSheetId="14" hidden="1">#REF!</definedName>
    <definedName name="_3__123Graph_ACHART_13" localSheetId="38" hidden="1">#REF!</definedName>
    <definedName name="_3__123Graph_ACHART_13" localSheetId="39" hidden="1">#REF!</definedName>
    <definedName name="_3__123Graph_ACHART_13" localSheetId="2" hidden="1">#REF!</definedName>
    <definedName name="_3__123Graph_ACHART_13" localSheetId="58" hidden="1">#REF!</definedName>
    <definedName name="_3__123Graph_ACHART_13" localSheetId="56" hidden="1">#REF!</definedName>
    <definedName name="_3__123Graph_ACHART_13" localSheetId="19" hidden="1">#REF!</definedName>
    <definedName name="_3__123Graph_ACHART_13" localSheetId="9" hidden="1">#REF!</definedName>
    <definedName name="_3__123Graph_ACHART_13" localSheetId="6" hidden="1">#REF!</definedName>
    <definedName name="_3__123Graph_ACHART_13" localSheetId="17" hidden="1">#REF!</definedName>
    <definedName name="_3__123Graph_ACHART_13" hidden="1">#REF!</definedName>
    <definedName name="_30__123Graph_BCHART_6" localSheetId="15" hidden="1">#REF!</definedName>
    <definedName name="_30__123Graph_BCHART_6" localSheetId="41" hidden="1">#REF!</definedName>
    <definedName name="_30__123Graph_BCHART_6" localSheetId="42" hidden="1">#REF!</definedName>
    <definedName name="_30__123Graph_BCHART_6" localSheetId="43" hidden="1">#REF!</definedName>
    <definedName name="_30__123Graph_BCHART_6" localSheetId="16" hidden="1">#REF!</definedName>
    <definedName name="_30__123Graph_BCHART_6" localSheetId="45" hidden="1">#REF!</definedName>
    <definedName name="_30__123Graph_BCHART_6" localSheetId="46" hidden="1">#REF!</definedName>
    <definedName name="_30__123Graph_BCHART_6" localSheetId="47" hidden="1">#REF!</definedName>
    <definedName name="_30__123Graph_BCHART_6" localSheetId="48" hidden="1">#REF!</definedName>
    <definedName name="_30__123Graph_BCHART_6" localSheetId="49" hidden="1">#REF!</definedName>
    <definedName name="_30__123Graph_BCHART_6" localSheetId="50" hidden="1">#REF!</definedName>
    <definedName name="_30__123Graph_BCHART_6" localSheetId="51" hidden="1">#REF!</definedName>
    <definedName name="_30__123Graph_BCHART_6" localSheetId="52" hidden="1">#REF!</definedName>
    <definedName name="_30__123Graph_BCHART_6" localSheetId="10" hidden="1">#REF!</definedName>
    <definedName name="_30__123Graph_BCHART_6" localSheetId="27" hidden="1">#REF!</definedName>
    <definedName name="_30__123Graph_BCHART_6" localSheetId="28" hidden="1">#REF!</definedName>
    <definedName name="_30__123Graph_BCHART_6" localSheetId="8" hidden="1">#REF!</definedName>
    <definedName name="_30__123Graph_BCHART_6" localSheetId="32" hidden="1">#REF!</definedName>
    <definedName name="_30__123Graph_BCHART_6" localSheetId="11" hidden="1">#REF!</definedName>
    <definedName name="_30__123Graph_BCHART_6" localSheetId="35" hidden="1">#REF!</definedName>
    <definedName name="_30__123Graph_BCHART_6" localSheetId="7" hidden="1">#REF!</definedName>
    <definedName name="_30__123Graph_BCHART_6" localSheetId="25" hidden="1">#REF!</definedName>
    <definedName name="_30__123Graph_BCHART_6" localSheetId="26" hidden="1">#REF!</definedName>
    <definedName name="_30__123Graph_BCHART_6" localSheetId="23" hidden="1">#REF!</definedName>
    <definedName name="_30__123Graph_BCHART_6" localSheetId="22" hidden="1">#REF!</definedName>
    <definedName name="_30__123Graph_BCHART_6" localSheetId="31" hidden="1">#REF!</definedName>
    <definedName name="_30__123Graph_BCHART_6" localSheetId="18" hidden="1">#REF!</definedName>
    <definedName name="_30__123Graph_BCHART_6" localSheetId="54" hidden="1">#REF!</definedName>
    <definedName name="_30__123Graph_BCHART_6" localSheetId="30" hidden="1">#REF!</definedName>
    <definedName name="_30__123Graph_BCHART_6" localSheetId="14" hidden="1">#REF!</definedName>
    <definedName name="_30__123Graph_BCHART_6" localSheetId="38" hidden="1">#REF!</definedName>
    <definedName name="_30__123Graph_BCHART_6" localSheetId="39" hidden="1">#REF!</definedName>
    <definedName name="_30__123Graph_BCHART_6" localSheetId="2" hidden="1">#REF!</definedName>
    <definedName name="_30__123Graph_BCHART_6" localSheetId="58" hidden="1">#REF!</definedName>
    <definedName name="_30__123Graph_BCHART_6" localSheetId="56" hidden="1">#REF!</definedName>
    <definedName name="_30__123Graph_BCHART_6" localSheetId="19" hidden="1">#REF!</definedName>
    <definedName name="_30__123Graph_BCHART_6" localSheetId="9" hidden="1">#REF!</definedName>
    <definedName name="_30__123Graph_BCHART_6" localSheetId="6" hidden="1">#REF!</definedName>
    <definedName name="_30__123Graph_BCHART_6" localSheetId="17" hidden="1">#REF!</definedName>
    <definedName name="_30__123Graph_BCHART_6" hidden="1">#REF!</definedName>
    <definedName name="_31__123Graph_BCHART_7" localSheetId="15" hidden="1">#REF!</definedName>
    <definedName name="_31__123Graph_BCHART_7" localSheetId="41" hidden="1">#REF!</definedName>
    <definedName name="_31__123Graph_BCHART_7" localSheetId="42" hidden="1">#REF!</definedName>
    <definedName name="_31__123Graph_BCHART_7" localSheetId="43" hidden="1">#REF!</definedName>
    <definedName name="_31__123Graph_BCHART_7" localSheetId="16" hidden="1">#REF!</definedName>
    <definedName name="_31__123Graph_BCHART_7" localSheetId="45" hidden="1">#REF!</definedName>
    <definedName name="_31__123Graph_BCHART_7" localSheetId="46" hidden="1">#REF!</definedName>
    <definedName name="_31__123Graph_BCHART_7" localSheetId="47" hidden="1">#REF!</definedName>
    <definedName name="_31__123Graph_BCHART_7" localSheetId="48" hidden="1">#REF!</definedName>
    <definedName name="_31__123Graph_BCHART_7" localSheetId="49" hidden="1">#REF!</definedName>
    <definedName name="_31__123Graph_BCHART_7" localSheetId="50" hidden="1">#REF!</definedName>
    <definedName name="_31__123Graph_BCHART_7" localSheetId="51" hidden="1">#REF!</definedName>
    <definedName name="_31__123Graph_BCHART_7" localSheetId="52" hidden="1">#REF!</definedName>
    <definedName name="_31__123Graph_BCHART_7" localSheetId="10" hidden="1">#REF!</definedName>
    <definedName name="_31__123Graph_BCHART_7" localSheetId="27" hidden="1">#REF!</definedName>
    <definedName name="_31__123Graph_BCHART_7" localSheetId="28" hidden="1">#REF!</definedName>
    <definedName name="_31__123Graph_BCHART_7" localSheetId="8" hidden="1">#REF!</definedName>
    <definedName name="_31__123Graph_BCHART_7" localSheetId="32" hidden="1">#REF!</definedName>
    <definedName name="_31__123Graph_BCHART_7" localSheetId="11" hidden="1">#REF!</definedName>
    <definedName name="_31__123Graph_BCHART_7" localSheetId="35" hidden="1">#REF!</definedName>
    <definedName name="_31__123Graph_BCHART_7" localSheetId="7" hidden="1">#REF!</definedName>
    <definedName name="_31__123Graph_BCHART_7" localSheetId="25" hidden="1">#REF!</definedName>
    <definedName name="_31__123Graph_BCHART_7" localSheetId="26" hidden="1">#REF!</definedName>
    <definedName name="_31__123Graph_BCHART_7" localSheetId="23" hidden="1">#REF!</definedName>
    <definedName name="_31__123Graph_BCHART_7" localSheetId="22" hidden="1">#REF!</definedName>
    <definedName name="_31__123Graph_BCHART_7" localSheetId="31" hidden="1">#REF!</definedName>
    <definedName name="_31__123Graph_BCHART_7" localSheetId="18" hidden="1">#REF!</definedName>
    <definedName name="_31__123Graph_BCHART_7" localSheetId="54" hidden="1">#REF!</definedName>
    <definedName name="_31__123Graph_BCHART_7" localSheetId="30" hidden="1">#REF!</definedName>
    <definedName name="_31__123Graph_BCHART_7" localSheetId="14" hidden="1">#REF!</definedName>
    <definedName name="_31__123Graph_BCHART_7" localSheetId="38" hidden="1">#REF!</definedName>
    <definedName name="_31__123Graph_BCHART_7" localSheetId="39" hidden="1">#REF!</definedName>
    <definedName name="_31__123Graph_BCHART_7" localSheetId="2" hidden="1">#REF!</definedName>
    <definedName name="_31__123Graph_BCHART_7" localSheetId="58" hidden="1">#REF!</definedName>
    <definedName name="_31__123Graph_BCHART_7" localSheetId="56" hidden="1">#REF!</definedName>
    <definedName name="_31__123Graph_BCHART_7" localSheetId="19" hidden="1">#REF!</definedName>
    <definedName name="_31__123Graph_BCHART_7" localSheetId="9" hidden="1">#REF!</definedName>
    <definedName name="_31__123Graph_BCHART_7" localSheetId="6" hidden="1">#REF!</definedName>
    <definedName name="_31__123Graph_BCHART_7" localSheetId="17" hidden="1">#REF!</definedName>
    <definedName name="_31__123Graph_BCHART_7" hidden="1">#REF!</definedName>
    <definedName name="_32__123Graph_BCHART_8" localSheetId="15" hidden="1">#REF!</definedName>
    <definedName name="_32__123Graph_BCHART_8" localSheetId="41" hidden="1">#REF!</definedName>
    <definedName name="_32__123Graph_BCHART_8" localSheetId="42" hidden="1">#REF!</definedName>
    <definedName name="_32__123Graph_BCHART_8" localSheetId="43" hidden="1">#REF!</definedName>
    <definedName name="_32__123Graph_BCHART_8" localSheetId="16" hidden="1">#REF!</definedName>
    <definedName name="_32__123Graph_BCHART_8" localSheetId="45" hidden="1">#REF!</definedName>
    <definedName name="_32__123Graph_BCHART_8" localSheetId="46" hidden="1">#REF!</definedName>
    <definedName name="_32__123Graph_BCHART_8" localSheetId="47" hidden="1">#REF!</definedName>
    <definedName name="_32__123Graph_BCHART_8" localSheetId="48" hidden="1">#REF!</definedName>
    <definedName name="_32__123Graph_BCHART_8" localSheetId="49" hidden="1">#REF!</definedName>
    <definedName name="_32__123Graph_BCHART_8" localSheetId="50" hidden="1">#REF!</definedName>
    <definedName name="_32__123Graph_BCHART_8" localSheetId="51" hidden="1">#REF!</definedName>
    <definedName name="_32__123Graph_BCHART_8" localSheetId="52" hidden="1">#REF!</definedName>
    <definedName name="_32__123Graph_BCHART_8" localSheetId="10" hidden="1">#REF!</definedName>
    <definedName name="_32__123Graph_BCHART_8" localSheetId="27" hidden="1">#REF!</definedName>
    <definedName name="_32__123Graph_BCHART_8" localSheetId="28" hidden="1">#REF!</definedName>
    <definedName name="_32__123Graph_BCHART_8" localSheetId="8" hidden="1">#REF!</definedName>
    <definedName name="_32__123Graph_BCHART_8" localSheetId="32" hidden="1">#REF!</definedName>
    <definedName name="_32__123Graph_BCHART_8" localSheetId="11" hidden="1">#REF!</definedName>
    <definedName name="_32__123Graph_BCHART_8" localSheetId="35" hidden="1">#REF!</definedName>
    <definedName name="_32__123Graph_BCHART_8" localSheetId="7" hidden="1">#REF!</definedName>
    <definedName name="_32__123Graph_BCHART_8" localSheetId="25" hidden="1">#REF!</definedName>
    <definedName name="_32__123Graph_BCHART_8" localSheetId="26" hidden="1">#REF!</definedName>
    <definedName name="_32__123Graph_BCHART_8" localSheetId="23" hidden="1">#REF!</definedName>
    <definedName name="_32__123Graph_BCHART_8" localSheetId="22" hidden="1">#REF!</definedName>
    <definedName name="_32__123Graph_BCHART_8" localSheetId="31" hidden="1">#REF!</definedName>
    <definedName name="_32__123Graph_BCHART_8" localSheetId="18" hidden="1">#REF!</definedName>
    <definedName name="_32__123Graph_BCHART_8" localSheetId="54" hidden="1">#REF!</definedName>
    <definedName name="_32__123Graph_BCHART_8" localSheetId="30" hidden="1">#REF!</definedName>
    <definedName name="_32__123Graph_BCHART_8" localSheetId="14" hidden="1">#REF!</definedName>
    <definedName name="_32__123Graph_BCHART_8" localSheetId="38" hidden="1">#REF!</definedName>
    <definedName name="_32__123Graph_BCHART_8" localSheetId="39" hidden="1">#REF!</definedName>
    <definedName name="_32__123Graph_BCHART_8" localSheetId="2" hidden="1">#REF!</definedName>
    <definedName name="_32__123Graph_BCHART_8" localSheetId="58" hidden="1">#REF!</definedName>
    <definedName name="_32__123Graph_BCHART_8" localSheetId="56" hidden="1">#REF!</definedName>
    <definedName name="_32__123Graph_BCHART_8" localSheetId="19" hidden="1">#REF!</definedName>
    <definedName name="_32__123Graph_BCHART_8" localSheetId="9" hidden="1">#REF!</definedName>
    <definedName name="_32__123Graph_BCHART_8" localSheetId="6" hidden="1">#REF!</definedName>
    <definedName name="_32__123Graph_BCHART_8" localSheetId="17" hidden="1">#REF!</definedName>
    <definedName name="_32__123Graph_BCHART_8" hidden="1">#REF!</definedName>
    <definedName name="_33__123Graph_CCHART_19" localSheetId="15" hidden="1">#REF!</definedName>
    <definedName name="_33__123Graph_CCHART_19" localSheetId="41" hidden="1">#REF!</definedName>
    <definedName name="_33__123Graph_CCHART_19" localSheetId="42" hidden="1">#REF!</definedName>
    <definedName name="_33__123Graph_CCHART_19" localSheetId="43" hidden="1">#REF!</definedName>
    <definedName name="_33__123Graph_CCHART_19" localSheetId="16" hidden="1">#REF!</definedName>
    <definedName name="_33__123Graph_CCHART_19" localSheetId="45" hidden="1">#REF!</definedName>
    <definedName name="_33__123Graph_CCHART_19" localSheetId="46" hidden="1">#REF!</definedName>
    <definedName name="_33__123Graph_CCHART_19" localSheetId="47" hidden="1">#REF!</definedName>
    <definedName name="_33__123Graph_CCHART_19" localSheetId="48" hidden="1">#REF!</definedName>
    <definedName name="_33__123Graph_CCHART_19" localSheetId="49" hidden="1">#REF!</definedName>
    <definedName name="_33__123Graph_CCHART_19" localSheetId="50" hidden="1">#REF!</definedName>
    <definedName name="_33__123Graph_CCHART_19" localSheetId="51" hidden="1">#REF!</definedName>
    <definedName name="_33__123Graph_CCHART_19" localSheetId="52" hidden="1">#REF!</definedName>
    <definedName name="_33__123Graph_CCHART_19" localSheetId="10" hidden="1">#REF!</definedName>
    <definedName name="_33__123Graph_CCHART_19" localSheetId="27" hidden="1">#REF!</definedName>
    <definedName name="_33__123Graph_CCHART_19" localSheetId="28" hidden="1">#REF!</definedName>
    <definedName name="_33__123Graph_CCHART_19" localSheetId="8" hidden="1">#REF!</definedName>
    <definedName name="_33__123Graph_CCHART_19" localSheetId="32" hidden="1">#REF!</definedName>
    <definedName name="_33__123Graph_CCHART_19" localSheetId="11" hidden="1">#REF!</definedName>
    <definedName name="_33__123Graph_CCHART_19" localSheetId="35" hidden="1">#REF!</definedName>
    <definedName name="_33__123Graph_CCHART_19" localSheetId="7" hidden="1">#REF!</definedName>
    <definedName name="_33__123Graph_CCHART_19" localSheetId="25" hidden="1">#REF!</definedName>
    <definedName name="_33__123Graph_CCHART_19" localSheetId="26" hidden="1">#REF!</definedName>
    <definedName name="_33__123Graph_CCHART_19" localSheetId="23" hidden="1">#REF!</definedName>
    <definedName name="_33__123Graph_CCHART_19" localSheetId="22" hidden="1">#REF!</definedName>
    <definedName name="_33__123Graph_CCHART_19" localSheetId="31" hidden="1">#REF!</definedName>
    <definedName name="_33__123Graph_CCHART_19" localSheetId="18" hidden="1">#REF!</definedName>
    <definedName name="_33__123Graph_CCHART_19" localSheetId="54" hidden="1">#REF!</definedName>
    <definedName name="_33__123Graph_CCHART_19" localSheetId="30" hidden="1">#REF!</definedName>
    <definedName name="_33__123Graph_CCHART_19" localSheetId="14" hidden="1">#REF!</definedName>
    <definedName name="_33__123Graph_CCHART_19" localSheetId="38" hidden="1">#REF!</definedName>
    <definedName name="_33__123Graph_CCHART_19" localSheetId="39" hidden="1">#REF!</definedName>
    <definedName name="_33__123Graph_CCHART_19" localSheetId="2" hidden="1">#REF!</definedName>
    <definedName name="_33__123Graph_CCHART_19" localSheetId="58" hidden="1">#REF!</definedName>
    <definedName name="_33__123Graph_CCHART_19" localSheetId="56" hidden="1">#REF!</definedName>
    <definedName name="_33__123Graph_CCHART_19" localSheetId="19" hidden="1">#REF!</definedName>
    <definedName name="_33__123Graph_CCHART_19" localSheetId="9" hidden="1">#REF!</definedName>
    <definedName name="_33__123Graph_CCHART_19" localSheetId="6" hidden="1">#REF!</definedName>
    <definedName name="_33__123Graph_CCHART_19" localSheetId="17" hidden="1">#REF!</definedName>
    <definedName name="_33__123Graph_CCHART_19" hidden="1">#REF!</definedName>
    <definedName name="_34__123Graph_XCHART_12" localSheetId="15" hidden="1">#REF!</definedName>
    <definedName name="_34__123Graph_XCHART_12" localSheetId="41" hidden="1">#REF!</definedName>
    <definedName name="_34__123Graph_XCHART_12" localSheetId="42" hidden="1">#REF!</definedName>
    <definedName name="_34__123Graph_XCHART_12" localSheetId="43" hidden="1">#REF!</definedName>
    <definedName name="_34__123Graph_XCHART_12" localSheetId="16" hidden="1">#REF!</definedName>
    <definedName name="_34__123Graph_XCHART_12" localSheetId="45" hidden="1">#REF!</definedName>
    <definedName name="_34__123Graph_XCHART_12" localSheetId="46" hidden="1">#REF!</definedName>
    <definedName name="_34__123Graph_XCHART_12" localSheetId="47" hidden="1">#REF!</definedName>
    <definedName name="_34__123Graph_XCHART_12" localSheetId="48" hidden="1">#REF!</definedName>
    <definedName name="_34__123Graph_XCHART_12" localSheetId="49" hidden="1">#REF!</definedName>
    <definedName name="_34__123Graph_XCHART_12" localSheetId="50" hidden="1">#REF!</definedName>
    <definedName name="_34__123Graph_XCHART_12" localSheetId="51" hidden="1">#REF!</definedName>
    <definedName name="_34__123Graph_XCHART_12" localSheetId="52" hidden="1">#REF!</definedName>
    <definedName name="_34__123Graph_XCHART_12" localSheetId="10" hidden="1">#REF!</definedName>
    <definedName name="_34__123Graph_XCHART_12" localSheetId="27" hidden="1">#REF!</definedName>
    <definedName name="_34__123Graph_XCHART_12" localSheetId="28" hidden="1">#REF!</definedName>
    <definedName name="_34__123Graph_XCHART_12" localSheetId="8" hidden="1">#REF!</definedName>
    <definedName name="_34__123Graph_XCHART_12" localSheetId="32" hidden="1">#REF!</definedName>
    <definedName name="_34__123Graph_XCHART_12" localSheetId="11" hidden="1">#REF!</definedName>
    <definedName name="_34__123Graph_XCHART_12" localSheetId="35" hidden="1">#REF!</definedName>
    <definedName name="_34__123Graph_XCHART_12" localSheetId="7" hidden="1">#REF!</definedName>
    <definedName name="_34__123Graph_XCHART_12" localSheetId="25" hidden="1">#REF!</definedName>
    <definedName name="_34__123Graph_XCHART_12" localSheetId="26" hidden="1">#REF!</definedName>
    <definedName name="_34__123Graph_XCHART_12" localSheetId="23" hidden="1">#REF!</definedName>
    <definedName name="_34__123Graph_XCHART_12" localSheetId="22" hidden="1">#REF!</definedName>
    <definedName name="_34__123Graph_XCHART_12" localSheetId="31" hidden="1">#REF!</definedName>
    <definedName name="_34__123Graph_XCHART_12" localSheetId="18" hidden="1">#REF!</definedName>
    <definedName name="_34__123Graph_XCHART_12" localSheetId="54" hidden="1">#REF!</definedName>
    <definedName name="_34__123Graph_XCHART_12" localSheetId="30" hidden="1">#REF!</definedName>
    <definedName name="_34__123Graph_XCHART_12" localSheetId="14" hidden="1">#REF!</definedName>
    <definedName name="_34__123Graph_XCHART_12" localSheetId="38" hidden="1">#REF!</definedName>
    <definedName name="_34__123Graph_XCHART_12" localSheetId="39" hidden="1">#REF!</definedName>
    <definedName name="_34__123Graph_XCHART_12" localSheetId="2" hidden="1">#REF!</definedName>
    <definedName name="_34__123Graph_XCHART_12" localSheetId="58" hidden="1">#REF!</definedName>
    <definedName name="_34__123Graph_XCHART_12" localSheetId="56" hidden="1">#REF!</definedName>
    <definedName name="_34__123Graph_XCHART_12" localSheetId="19" hidden="1">#REF!</definedName>
    <definedName name="_34__123Graph_XCHART_12" localSheetId="9" hidden="1">#REF!</definedName>
    <definedName name="_34__123Graph_XCHART_12" localSheetId="6" hidden="1">#REF!</definedName>
    <definedName name="_34__123Graph_XCHART_12" localSheetId="17" hidden="1">#REF!</definedName>
    <definedName name="_34__123Graph_XCHART_12" hidden="1">#REF!</definedName>
    <definedName name="_35__123Graph_XCHART_13" localSheetId="15" hidden="1">#REF!</definedName>
    <definedName name="_35__123Graph_XCHART_13" localSheetId="41" hidden="1">#REF!</definedName>
    <definedName name="_35__123Graph_XCHART_13" localSheetId="42" hidden="1">#REF!</definedName>
    <definedName name="_35__123Graph_XCHART_13" localSheetId="43" hidden="1">#REF!</definedName>
    <definedName name="_35__123Graph_XCHART_13" localSheetId="16" hidden="1">#REF!</definedName>
    <definedName name="_35__123Graph_XCHART_13" localSheetId="45" hidden="1">#REF!</definedName>
    <definedName name="_35__123Graph_XCHART_13" localSheetId="46" hidden="1">#REF!</definedName>
    <definedName name="_35__123Graph_XCHART_13" localSheetId="47" hidden="1">#REF!</definedName>
    <definedName name="_35__123Graph_XCHART_13" localSheetId="48" hidden="1">#REF!</definedName>
    <definedName name="_35__123Graph_XCHART_13" localSheetId="49" hidden="1">#REF!</definedName>
    <definedName name="_35__123Graph_XCHART_13" localSheetId="50" hidden="1">#REF!</definedName>
    <definedName name="_35__123Graph_XCHART_13" localSheetId="51" hidden="1">#REF!</definedName>
    <definedName name="_35__123Graph_XCHART_13" localSheetId="52" hidden="1">#REF!</definedName>
    <definedName name="_35__123Graph_XCHART_13" localSheetId="10" hidden="1">#REF!</definedName>
    <definedName name="_35__123Graph_XCHART_13" localSheetId="27" hidden="1">#REF!</definedName>
    <definedName name="_35__123Graph_XCHART_13" localSheetId="28" hidden="1">#REF!</definedName>
    <definedName name="_35__123Graph_XCHART_13" localSheetId="8" hidden="1">#REF!</definedName>
    <definedName name="_35__123Graph_XCHART_13" localSheetId="32" hidden="1">#REF!</definedName>
    <definedName name="_35__123Graph_XCHART_13" localSheetId="11" hidden="1">#REF!</definedName>
    <definedName name="_35__123Graph_XCHART_13" localSheetId="35" hidden="1">#REF!</definedName>
    <definedName name="_35__123Graph_XCHART_13" localSheetId="7" hidden="1">#REF!</definedName>
    <definedName name="_35__123Graph_XCHART_13" localSheetId="25" hidden="1">#REF!</definedName>
    <definedName name="_35__123Graph_XCHART_13" localSheetId="26" hidden="1">#REF!</definedName>
    <definedName name="_35__123Graph_XCHART_13" localSheetId="23" hidden="1">#REF!</definedName>
    <definedName name="_35__123Graph_XCHART_13" localSheetId="22" hidden="1">#REF!</definedName>
    <definedName name="_35__123Graph_XCHART_13" localSheetId="31" hidden="1">#REF!</definedName>
    <definedName name="_35__123Graph_XCHART_13" localSheetId="18" hidden="1">#REF!</definedName>
    <definedName name="_35__123Graph_XCHART_13" localSheetId="54" hidden="1">#REF!</definedName>
    <definedName name="_35__123Graph_XCHART_13" localSheetId="30" hidden="1">#REF!</definedName>
    <definedName name="_35__123Graph_XCHART_13" localSheetId="14" hidden="1">#REF!</definedName>
    <definedName name="_35__123Graph_XCHART_13" localSheetId="38" hidden="1">#REF!</definedName>
    <definedName name="_35__123Graph_XCHART_13" localSheetId="39" hidden="1">#REF!</definedName>
    <definedName name="_35__123Graph_XCHART_13" localSheetId="2" hidden="1">#REF!</definedName>
    <definedName name="_35__123Graph_XCHART_13" localSheetId="58" hidden="1">#REF!</definedName>
    <definedName name="_35__123Graph_XCHART_13" localSheetId="56" hidden="1">#REF!</definedName>
    <definedName name="_35__123Graph_XCHART_13" localSheetId="19" hidden="1">#REF!</definedName>
    <definedName name="_35__123Graph_XCHART_13" localSheetId="9" hidden="1">#REF!</definedName>
    <definedName name="_35__123Graph_XCHART_13" localSheetId="6" hidden="1">#REF!</definedName>
    <definedName name="_35__123Graph_XCHART_13" localSheetId="17" hidden="1">#REF!</definedName>
    <definedName name="_35__123Graph_XCHART_13" hidden="1">#REF!</definedName>
    <definedName name="_36__123Graph_XCHART_14" localSheetId="15" hidden="1">#REF!</definedName>
    <definedName name="_36__123Graph_XCHART_14" localSheetId="41" hidden="1">#REF!</definedName>
    <definedName name="_36__123Graph_XCHART_14" localSheetId="42" hidden="1">#REF!</definedName>
    <definedName name="_36__123Graph_XCHART_14" localSheetId="43" hidden="1">#REF!</definedName>
    <definedName name="_36__123Graph_XCHART_14" localSheetId="16" hidden="1">#REF!</definedName>
    <definedName name="_36__123Graph_XCHART_14" localSheetId="45" hidden="1">#REF!</definedName>
    <definedName name="_36__123Graph_XCHART_14" localSheetId="46" hidden="1">#REF!</definedName>
    <definedName name="_36__123Graph_XCHART_14" localSheetId="47" hidden="1">#REF!</definedName>
    <definedName name="_36__123Graph_XCHART_14" localSheetId="48" hidden="1">#REF!</definedName>
    <definedName name="_36__123Graph_XCHART_14" localSheetId="49" hidden="1">#REF!</definedName>
    <definedName name="_36__123Graph_XCHART_14" localSheetId="50" hidden="1">#REF!</definedName>
    <definedName name="_36__123Graph_XCHART_14" localSheetId="51" hidden="1">#REF!</definedName>
    <definedName name="_36__123Graph_XCHART_14" localSheetId="52" hidden="1">#REF!</definedName>
    <definedName name="_36__123Graph_XCHART_14" localSheetId="10" hidden="1">#REF!</definedName>
    <definedName name="_36__123Graph_XCHART_14" localSheetId="27" hidden="1">#REF!</definedName>
    <definedName name="_36__123Graph_XCHART_14" localSheetId="28" hidden="1">#REF!</definedName>
    <definedName name="_36__123Graph_XCHART_14" localSheetId="8" hidden="1">#REF!</definedName>
    <definedName name="_36__123Graph_XCHART_14" localSheetId="32" hidden="1">#REF!</definedName>
    <definedName name="_36__123Graph_XCHART_14" localSheetId="11" hidden="1">#REF!</definedName>
    <definedName name="_36__123Graph_XCHART_14" localSheetId="35" hidden="1">#REF!</definedName>
    <definedName name="_36__123Graph_XCHART_14" localSheetId="7" hidden="1">#REF!</definedName>
    <definedName name="_36__123Graph_XCHART_14" localSheetId="25" hidden="1">#REF!</definedName>
    <definedName name="_36__123Graph_XCHART_14" localSheetId="26" hidden="1">#REF!</definedName>
    <definedName name="_36__123Graph_XCHART_14" localSheetId="23" hidden="1">#REF!</definedName>
    <definedName name="_36__123Graph_XCHART_14" localSheetId="22" hidden="1">#REF!</definedName>
    <definedName name="_36__123Graph_XCHART_14" localSheetId="31" hidden="1">#REF!</definedName>
    <definedName name="_36__123Graph_XCHART_14" localSheetId="18" hidden="1">#REF!</definedName>
    <definedName name="_36__123Graph_XCHART_14" localSheetId="54" hidden="1">#REF!</definedName>
    <definedName name="_36__123Graph_XCHART_14" localSheetId="30" hidden="1">#REF!</definedName>
    <definedName name="_36__123Graph_XCHART_14" localSheetId="14" hidden="1">#REF!</definedName>
    <definedName name="_36__123Graph_XCHART_14" localSheetId="38" hidden="1">#REF!</definedName>
    <definedName name="_36__123Graph_XCHART_14" localSheetId="39" hidden="1">#REF!</definedName>
    <definedName name="_36__123Graph_XCHART_14" localSheetId="2" hidden="1">#REF!</definedName>
    <definedName name="_36__123Graph_XCHART_14" localSheetId="58" hidden="1">#REF!</definedName>
    <definedName name="_36__123Graph_XCHART_14" localSheetId="56" hidden="1">#REF!</definedName>
    <definedName name="_36__123Graph_XCHART_14" localSheetId="19" hidden="1">#REF!</definedName>
    <definedName name="_36__123Graph_XCHART_14" localSheetId="9" hidden="1">#REF!</definedName>
    <definedName name="_36__123Graph_XCHART_14" localSheetId="6" hidden="1">#REF!</definedName>
    <definedName name="_36__123Graph_XCHART_14" localSheetId="17" hidden="1">#REF!</definedName>
    <definedName name="_36__123Graph_XCHART_14" hidden="1">#REF!</definedName>
    <definedName name="_37__123Graph_XCHART_15" localSheetId="15" hidden="1">#REF!</definedName>
    <definedName name="_37__123Graph_XCHART_15" localSheetId="41" hidden="1">#REF!</definedName>
    <definedName name="_37__123Graph_XCHART_15" localSheetId="42" hidden="1">#REF!</definedName>
    <definedName name="_37__123Graph_XCHART_15" localSheetId="43" hidden="1">#REF!</definedName>
    <definedName name="_37__123Graph_XCHART_15" localSheetId="16" hidden="1">#REF!</definedName>
    <definedName name="_37__123Graph_XCHART_15" localSheetId="45" hidden="1">#REF!</definedName>
    <definedName name="_37__123Graph_XCHART_15" localSheetId="46" hidden="1">#REF!</definedName>
    <definedName name="_37__123Graph_XCHART_15" localSheetId="47" hidden="1">#REF!</definedName>
    <definedName name="_37__123Graph_XCHART_15" localSheetId="48" hidden="1">#REF!</definedName>
    <definedName name="_37__123Graph_XCHART_15" localSheetId="49" hidden="1">#REF!</definedName>
    <definedName name="_37__123Graph_XCHART_15" localSheetId="50" hidden="1">#REF!</definedName>
    <definedName name="_37__123Graph_XCHART_15" localSheetId="51" hidden="1">#REF!</definedName>
    <definedName name="_37__123Graph_XCHART_15" localSheetId="52" hidden="1">#REF!</definedName>
    <definedName name="_37__123Graph_XCHART_15" localSheetId="10" hidden="1">#REF!</definedName>
    <definedName name="_37__123Graph_XCHART_15" localSheetId="27" hidden="1">#REF!</definedName>
    <definedName name="_37__123Graph_XCHART_15" localSheetId="28" hidden="1">#REF!</definedName>
    <definedName name="_37__123Graph_XCHART_15" localSheetId="8" hidden="1">#REF!</definedName>
    <definedName name="_37__123Graph_XCHART_15" localSheetId="32" hidden="1">#REF!</definedName>
    <definedName name="_37__123Graph_XCHART_15" localSheetId="11" hidden="1">#REF!</definedName>
    <definedName name="_37__123Graph_XCHART_15" localSheetId="35" hidden="1">#REF!</definedName>
    <definedName name="_37__123Graph_XCHART_15" localSheetId="7" hidden="1">#REF!</definedName>
    <definedName name="_37__123Graph_XCHART_15" localSheetId="25" hidden="1">#REF!</definedName>
    <definedName name="_37__123Graph_XCHART_15" localSheetId="26" hidden="1">#REF!</definedName>
    <definedName name="_37__123Graph_XCHART_15" localSheetId="23" hidden="1">#REF!</definedName>
    <definedName name="_37__123Graph_XCHART_15" localSheetId="22" hidden="1">#REF!</definedName>
    <definedName name="_37__123Graph_XCHART_15" localSheetId="31" hidden="1">#REF!</definedName>
    <definedName name="_37__123Graph_XCHART_15" localSheetId="18" hidden="1">#REF!</definedName>
    <definedName name="_37__123Graph_XCHART_15" localSheetId="54" hidden="1">#REF!</definedName>
    <definedName name="_37__123Graph_XCHART_15" localSheetId="30" hidden="1">#REF!</definedName>
    <definedName name="_37__123Graph_XCHART_15" localSheetId="14" hidden="1">#REF!</definedName>
    <definedName name="_37__123Graph_XCHART_15" localSheetId="38" hidden="1">#REF!</definedName>
    <definedName name="_37__123Graph_XCHART_15" localSheetId="39" hidden="1">#REF!</definedName>
    <definedName name="_37__123Graph_XCHART_15" localSheetId="2" hidden="1">#REF!</definedName>
    <definedName name="_37__123Graph_XCHART_15" localSheetId="58" hidden="1">#REF!</definedName>
    <definedName name="_37__123Graph_XCHART_15" localSheetId="56" hidden="1">#REF!</definedName>
    <definedName name="_37__123Graph_XCHART_15" localSheetId="19" hidden="1">#REF!</definedName>
    <definedName name="_37__123Graph_XCHART_15" localSheetId="9" hidden="1">#REF!</definedName>
    <definedName name="_37__123Graph_XCHART_15" localSheetId="6" hidden="1">#REF!</definedName>
    <definedName name="_37__123Graph_XCHART_15" localSheetId="17" hidden="1">#REF!</definedName>
    <definedName name="_37__123Graph_XCHART_15" hidden="1">#REF!</definedName>
    <definedName name="_38__123Graph_XCHART_19" localSheetId="15" hidden="1">#REF!</definedName>
    <definedName name="_38__123Graph_XCHART_19" localSheetId="41" hidden="1">#REF!</definedName>
    <definedName name="_38__123Graph_XCHART_19" localSheetId="42" hidden="1">#REF!</definedName>
    <definedName name="_38__123Graph_XCHART_19" localSheetId="43" hidden="1">#REF!</definedName>
    <definedName name="_38__123Graph_XCHART_19" localSheetId="16" hidden="1">#REF!</definedName>
    <definedName name="_38__123Graph_XCHART_19" localSheetId="45" hidden="1">#REF!</definedName>
    <definedName name="_38__123Graph_XCHART_19" localSheetId="46" hidden="1">#REF!</definedName>
    <definedName name="_38__123Graph_XCHART_19" localSheetId="47" hidden="1">#REF!</definedName>
    <definedName name="_38__123Graph_XCHART_19" localSheetId="48" hidden="1">#REF!</definedName>
    <definedName name="_38__123Graph_XCHART_19" localSheetId="49" hidden="1">#REF!</definedName>
    <definedName name="_38__123Graph_XCHART_19" localSheetId="50" hidden="1">#REF!</definedName>
    <definedName name="_38__123Graph_XCHART_19" localSheetId="51" hidden="1">#REF!</definedName>
    <definedName name="_38__123Graph_XCHART_19" localSheetId="52" hidden="1">#REF!</definedName>
    <definedName name="_38__123Graph_XCHART_19" localSheetId="10" hidden="1">#REF!</definedName>
    <definedName name="_38__123Graph_XCHART_19" localSheetId="27" hidden="1">#REF!</definedName>
    <definedName name="_38__123Graph_XCHART_19" localSheetId="28" hidden="1">#REF!</definedName>
    <definedName name="_38__123Graph_XCHART_19" localSheetId="8" hidden="1">#REF!</definedName>
    <definedName name="_38__123Graph_XCHART_19" localSheetId="32" hidden="1">#REF!</definedName>
    <definedName name="_38__123Graph_XCHART_19" localSheetId="11" hidden="1">#REF!</definedName>
    <definedName name="_38__123Graph_XCHART_19" localSheetId="35" hidden="1">#REF!</definedName>
    <definedName name="_38__123Graph_XCHART_19" localSheetId="7" hidden="1">#REF!</definedName>
    <definedName name="_38__123Graph_XCHART_19" localSheetId="25" hidden="1">#REF!</definedName>
    <definedName name="_38__123Graph_XCHART_19" localSheetId="26" hidden="1">#REF!</definedName>
    <definedName name="_38__123Graph_XCHART_19" localSheetId="23" hidden="1">#REF!</definedName>
    <definedName name="_38__123Graph_XCHART_19" localSheetId="22" hidden="1">#REF!</definedName>
    <definedName name="_38__123Graph_XCHART_19" localSheetId="31" hidden="1">#REF!</definedName>
    <definedName name="_38__123Graph_XCHART_19" localSheetId="18" hidden="1">#REF!</definedName>
    <definedName name="_38__123Graph_XCHART_19" localSheetId="54" hidden="1">#REF!</definedName>
    <definedName name="_38__123Graph_XCHART_19" localSheetId="30" hidden="1">#REF!</definedName>
    <definedName name="_38__123Graph_XCHART_19" localSheetId="14" hidden="1">#REF!</definedName>
    <definedName name="_38__123Graph_XCHART_19" localSheetId="38" hidden="1">#REF!</definedName>
    <definedName name="_38__123Graph_XCHART_19" localSheetId="39" hidden="1">#REF!</definedName>
    <definedName name="_38__123Graph_XCHART_19" localSheetId="2" hidden="1">#REF!</definedName>
    <definedName name="_38__123Graph_XCHART_19" localSheetId="58" hidden="1">#REF!</definedName>
    <definedName name="_38__123Graph_XCHART_19" localSheetId="56" hidden="1">#REF!</definedName>
    <definedName name="_38__123Graph_XCHART_19" localSheetId="19" hidden="1">#REF!</definedName>
    <definedName name="_38__123Graph_XCHART_19" localSheetId="9" hidden="1">#REF!</definedName>
    <definedName name="_38__123Graph_XCHART_19" localSheetId="6" hidden="1">#REF!</definedName>
    <definedName name="_38__123Graph_XCHART_19" localSheetId="17" hidden="1">#REF!</definedName>
    <definedName name="_38__123Graph_XCHART_19" hidden="1">#REF!</definedName>
    <definedName name="_39__123Graph_XCHART_2" localSheetId="15" hidden="1">#REF!</definedName>
    <definedName name="_39__123Graph_XCHART_2" localSheetId="41" hidden="1">#REF!</definedName>
    <definedName name="_39__123Graph_XCHART_2" localSheetId="42" hidden="1">#REF!</definedName>
    <definedName name="_39__123Graph_XCHART_2" localSheetId="43" hidden="1">#REF!</definedName>
    <definedName name="_39__123Graph_XCHART_2" localSheetId="16" hidden="1">#REF!</definedName>
    <definedName name="_39__123Graph_XCHART_2" localSheetId="45" hidden="1">#REF!</definedName>
    <definedName name="_39__123Graph_XCHART_2" localSheetId="46" hidden="1">#REF!</definedName>
    <definedName name="_39__123Graph_XCHART_2" localSheetId="47" hidden="1">#REF!</definedName>
    <definedName name="_39__123Graph_XCHART_2" localSheetId="48" hidden="1">#REF!</definedName>
    <definedName name="_39__123Graph_XCHART_2" localSheetId="49" hidden="1">#REF!</definedName>
    <definedName name="_39__123Graph_XCHART_2" localSheetId="50" hidden="1">#REF!</definedName>
    <definedName name="_39__123Graph_XCHART_2" localSheetId="51" hidden="1">#REF!</definedName>
    <definedName name="_39__123Graph_XCHART_2" localSheetId="52" hidden="1">#REF!</definedName>
    <definedName name="_39__123Graph_XCHART_2" localSheetId="10" hidden="1">#REF!</definedName>
    <definedName name="_39__123Graph_XCHART_2" localSheetId="27" hidden="1">#REF!</definedName>
    <definedName name="_39__123Graph_XCHART_2" localSheetId="28" hidden="1">#REF!</definedName>
    <definedName name="_39__123Graph_XCHART_2" localSheetId="8" hidden="1">#REF!</definedName>
    <definedName name="_39__123Graph_XCHART_2" localSheetId="32" hidden="1">#REF!</definedName>
    <definedName name="_39__123Graph_XCHART_2" localSheetId="11" hidden="1">#REF!</definedName>
    <definedName name="_39__123Graph_XCHART_2" localSheetId="35" hidden="1">#REF!</definedName>
    <definedName name="_39__123Graph_XCHART_2" localSheetId="7" hidden="1">#REF!</definedName>
    <definedName name="_39__123Graph_XCHART_2" localSheetId="25" hidden="1">#REF!</definedName>
    <definedName name="_39__123Graph_XCHART_2" localSheetId="26" hidden="1">#REF!</definedName>
    <definedName name="_39__123Graph_XCHART_2" localSheetId="23" hidden="1">#REF!</definedName>
    <definedName name="_39__123Graph_XCHART_2" localSheetId="22" hidden="1">#REF!</definedName>
    <definedName name="_39__123Graph_XCHART_2" localSheetId="31" hidden="1">#REF!</definedName>
    <definedName name="_39__123Graph_XCHART_2" localSheetId="18" hidden="1">#REF!</definedName>
    <definedName name="_39__123Graph_XCHART_2" localSheetId="54" hidden="1">#REF!</definedName>
    <definedName name="_39__123Graph_XCHART_2" localSheetId="30" hidden="1">#REF!</definedName>
    <definedName name="_39__123Graph_XCHART_2" localSheetId="14" hidden="1">#REF!</definedName>
    <definedName name="_39__123Graph_XCHART_2" localSheetId="38" hidden="1">#REF!</definedName>
    <definedName name="_39__123Graph_XCHART_2" localSheetId="39" hidden="1">#REF!</definedName>
    <definedName name="_39__123Graph_XCHART_2" localSheetId="2" hidden="1">#REF!</definedName>
    <definedName name="_39__123Graph_XCHART_2" localSheetId="58" hidden="1">#REF!</definedName>
    <definedName name="_39__123Graph_XCHART_2" localSheetId="56" hidden="1">#REF!</definedName>
    <definedName name="_39__123Graph_XCHART_2" localSheetId="19" hidden="1">#REF!</definedName>
    <definedName name="_39__123Graph_XCHART_2" localSheetId="9" hidden="1">#REF!</definedName>
    <definedName name="_39__123Graph_XCHART_2" localSheetId="6" hidden="1">#REF!</definedName>
    <definedName name="_39__123Graph_XCHART_2" localSheetId="17" hidden="1">#REF!</definedName>
    <definedName name="_39__123Graph_XCHART_2" hidden="1">#REF!</definedName>
    <definedName name="_4__123Graph_ACHART_14" localSheetId="15" hidden="1">#REF!</definedName>
    <definedName name="_4__123Graph_ACHART_14" localSheetId="41" hidden="1">#REF!</definedName>
    <definedName name="_4__123Graph_ACHART_14" localSheetId="42" hidden="1">#REF!</definedName>
    <definedName name="_4__123Graph_ACHART_14" localSheetId="43" hidden="1">#REF!</definedName>
    <definedName name="_4__123Graph_ACHART_14" localSheetId="16" hidden="1">#REF!</definedName>
    <definedName name="_4__123Graph_ACHART_14" localSheetId="45" hidden="1">#REF!</definedName>
    <definedName name="_4__123Graph_ACHART_14" localSheetId="46" hidden="1">#REF!</definedName>
    <definedName name="_4__123Graph_ACHART_14" localSheetId="47" hidden="1">#REF!</definedName>
    <definedName name="_4__123Graph_ACHART_14" localSheetId="48" hidden="1">#REF!</definedName>
    <definedName name="_4__123Graph_ACHART_14" localSheetId="49" hidden="1">#REF!</definedName>
    <definedName name="_4__123Graph_ACHART_14" localSheetId="50" hidden="1">#REF!</definedName>
    <definedName name="_4__123Graph_ACHART_14" localSheetId="51" hidden="1">#REF!</definedName>
    <definedName name="_4__123Graph_ACHART_14" localSheetId="52" hidden="1">#REF!</definedName>
    <definedName name="_4__123Graph_ACHART_14" localSheetId="10" hidden="1">#REF!</definedName>
    <definedName name="_4__123Graph_ACHART_14" localSheetId="27" hidden="1">#REF!</definedName>
    <definedName name="_4__123Graph_ACHART_14" localSheetId="28" hidden="1">#REF!</definedName>
    <definedName name="_4__123Graph_ACHART_14" localSheetId="8" hidden="1">#REF!</definedName>
    <definedName name="_4__123Graph_ACHART_14" localSheetId="32" hidden="1">#REF!</definedName>
    <definedName name="_4__123Graph_ACHART_14" localSheetId="11" hidden="1">#REF!</definedName>
    <definedName name="_4__123Graph_ACHART_14" localSheetId="35" hidden="1">#REF!</definedName>
    <definedName name="_4__123Graph_ACHART_14" localSheetId="7" hidden="1">#REF!</definedName>
    <definedName name="_4__123Graph_ACHART_14" localSheetId="25" hidden="1">#REF!</definedName>
    <definedName name="_4__123Graph_ACHART_14" localSheetId="26" hidden="1">#REF!</definedName>
    <definedName name="_4__123Graph_ACHART_14" localSheetId="23" hidden="1">#REF!</definedName>
    <definedName name="_4__123Graph_ACHART_14" localSheetId="22" hidden="1">#REF!</definedName>
    <definedName name="_4__123Graph_ACHART_14" localSheetId="31" hidden="1">#REF!</definedName>
    <definedName name="_4__123Graph_ACHART_14" localSheetId="18" hidden="1">#REF!</definedName>
    <definedName name="_4__123Graph_ACHART_14" localSheetId="54" hidden="1">#REF!</definedName>
    <definedName name="_4__123Graph_ACHART_14" localSheetId="30" hidden="1">#REF!</definedName>
    <definedName name="_4__123Graph_ACHART_14" localSheetId="14" hidden="1">#REF!</definedName>
    <definedName name="_4__123Graph_ACHART_14" localSheetId="38" hidden="1">#REF!</definedName>
    <definedName name="_4__123Graph_ACHART_14" localSheetId="39" hidden="1">#REF!</definedName>
    <definedName name="_4__123Graph_ACHART_14" localSheetId="2" hidden="1">#REF!</definedName>
    <definedName name="_4__123Graph_ACHART_14" localSheetId="58" hidden="1">#REF!</definedName>
    <definedName name="_4__123Graph_ACHART_14" localSheetId="56" hidden="1">#REF!</definedName>
    <definedName name="_4__123Graph_ACHART_14" localSheetId="19" hidden="1">#REF!</definedName>
    <definedName name="_4__123Graph_ACHART_14" localSheetId="9" hidden="1">#REF!</definedName>
    <definedName name="_4__123Graph_ACHART_14" localSheetId="6" hidden="1">#REF!</definedName>
    <definedName name="_4__123Graph_ACHART_14" localSheetId="17" hidden="1">#REF!</definedName>
    <definedName name="_4__123Graph_ACHART_14" hidden="1">#REF!</definedName>
    <definedName name="_40__123Graph_XCHART_20" localSheetId="15" hidden="1">#REF!</definedName>
    <definedName name="_40__123Graph_XCHART_20" localSheetId="41" hidden="1">#REF!</definedName>
    <definedName name="_40__123Graph_XCHART_20" localSheetId="42" hidden="1">#REF!</definedName>
    <definedName name="_40__123Graph_XCHART_20" localSheetId="43" hidden="1">#REF!</definedName>
    <definedName name="_40__123Graph_XCHART_20" localSheetId="16" hidden="1">#REF!</definedName>
    <definedName name="_40__123Graph_XCHART_20" localSheetId="45" hidden="1">#REF!</definedName>
    <definedName name="_40__123Graph_XCHART_20" localSheetId="46" hidden="1">#REF!</definedName>
    <definedName name="_40__123Graph_XCHART_20" localSheetId="47" hidden="1">#REF!</definedName>
    <definedName name="_40__123Graph_XCHART_20" localSheetId="48" hidden="1">#REF!</definedName>
    <definedName name="_40__123Graph_XCHART_20" localSheetId="49" hidden="1">#REF!</definedName>
    <definedName name="_40__123Graph_XCHART_20" localSheetId="50" hidden="1">#REF!</definedName>
    <definedName name="_40__123Graph_XCHART_20" localSheetId="51" hidden="1">#REF!</definedName>
    <definedName name="_40__123Graph_XCHART_20" localSheetId="52" hidden="1">#REF!</definedName>
    <definedName name="_40__123Graph_XCHART_20" localSheetId="10" hidden="1">#REF!</definedName>
    <definedName name="_40__123Graph_XCHART_20" localSheetId="27" hidden="1">#REF!</definedName>
    <definedName name="_40__123Graph_XCHART_20" localSheetId="28" hidden="1">#REF!</definedName>
    <definedName name="_40__123Graph_XCHART_20" localSheetId="8" hidden="1">#REF!</definedName>
    <definedName name="_40__123Graph_XCHART_20" localSheetId="32" hidden="1">#REF!</definedName>
    <definedName name="_40__123Graph_XCHART_20" localSheetId="11" hidden="1">#REF!</definedName>
    <definedName name="_40__123Graph_XCHART_20" localSheetId="35" hidden="1">#REF!</definedName>
    <definedName name="_40__123Graph_XCHART_20" localSheetId="7" hidden="1">#REF!</definedName>
    <definedName name="_40__123Graph_XCHART_20" localSheetId="25" hidden="1">#REF!</definedName>
    <definedName name="_40__123Graph_XCHART_20" localSheetId="26" hidden="1">#REF!</definedName>
    <definedName name="_40__123Graph_XCHART_20" localSheetId="23" hidden="1">#REF!</definedName>
    <definedName name="_40__123Graph_XCHART_20" localSheetId="22" hidden="1">#REF!</definedName>
    <definedName name="_40__123Graph_XCHART_20" localSheetId="31" hidden="1">#REF!</definedName>
    <definedName name="_40__123Graph_XCHART_20" localSheetId="18" hidden="1">#REF!</definedName>
    <definedName name="_40__123Graph_XCHART_20" localSheetId="54" hidden="1">#REF!</definedName>
    <definedName name="_40__123Graph_XCHART_20" localSheetId="30" hidden="1">#REF!</definedName>
    <definedName name="_40__123Graph_XCHART_20" localSheetId="14" hidden="1">#REF!</definedName>
    <definedName name="_40__123Graph_XCHART_20" localSheetId="38" hidden="1">#REF!</definedName>
    <definedName name="_40__123Graph_XCHART_20" localSheetId="39" hidden="1">#REF!</definedName>
    <definedName name="_40__123Graph_XCHART_20" localSheetId="2" hidden="1">#REF!</definedName>
    <definedName name="_40__123Graph_XCHART_20" localSheetId="58" hidden="1">#REF!</definedName>
    <definedName name="_40__123Graph_XCHART_20" localSheetId="56" hidden="1">#REF!</definedName>
    <definedName name="_40__123Graph_XCHART_20" localSheetId="19" hidden="1">#REF!</definedName>
    <definedName name="_40__123Graph_XCHART_20" localSheetId="9" hidden="1">#REF!</definedName>
    <definedName name="_40__123Graph_XCHART_20" localSheetId="6" hidden="1">#REF!</definedName>
    <definedName name="_40__123Graph_XCHART_20" localSheetId="17" hidden="1">#REF!</definedName>
    <definedName name="_40__123Graph_XCHART_20" hidden="1">#REF!</definedName>
    <definedName name="_41__123Graph_XCHART_22" localSheetId="15" hidden="1">#REF!</definedName>
    <definedName name="_41__123Graph_XCHART_22" localSheetId="41" hidden="1">#REF!</definedName>
    <definedName name="_41__123Graph_XCHART_22" localSheetId="42" hidden="1">#REF!</definedName>
    <definedName name="_41__123Graph_XCHART_22" localSheetId="43" hidden="1">#REF!</definedName>
    <definedName name="_41__123Graph_XCHART_22" localSheetId="16" hidden="1">#REF!</definedName>
    <definedName name="_41__123Graph_XCHART_22" localSheetId="45" hidden="1">#REF!</definedName>
    <definedName name="_41__123Graph_XCHART_22" localSheetId="46" hidden="1">#REF!</definedName>
    <definedName name="_41__123Graph_XCHART_22" localSheetId="47" hidden="1">#REF!</definedName>
    <definedName name="_41__123Graph_XCHART_22" localSheetId="48" hidden="1">#REF!</definedName>
    <definedName name="_41__123Graph_XCHART_22" localSheetId="49" hidden="1">#REF!</definedName>
    <definedName name="_41__123Graph_XCHART_22" localSheetId="50" hidden="1">#REF!</definedName>
    <definedName name="_41__123Graph_XCHART_22" localSheetId="51" hidden="1">#REF!</definedName>
    <definedName name="_41__123Graph_XCHART_22" localSheetId="52" hidden="1">#REF!</definedName>
    <definedName name="_41__123Graph_XCHART_22" localSheetId="10" hidden="1">#REF!</definedName>
    <definedName name="_41__123Graph_XCHART_22" localSheetId="27" hidden="1">#REF!</definedName>
    <definedName name="_41__123Graph_XCHART_22" localSheetId="28" hidden="1">#REF!</definedName>
    <definedName name="_41__123Graph_XCHART_22" localSheetId="8" hidden="1">#REF!</definedName>
    <definedName name="_41__123Graph_XCHART_22" localSheetId="32" hidden="1">#REF!</definedName>
    <definedName name="_41__123Graph_XCHART_22" localSheetId="11" hidden="1">#REF!</definedName>
    <definedName name="_41__123Graph_XCHART_22" localSheetId="35" hidden="1">#REF!</definedName>
    <definedName name="_41__123Graph_XCHART_22" localSheetId="7" hidden="1">#REF!</definedName>
    <definedName name="_41__123Graph_XCHART_22" localSheetId="25" hidden="1">#REF!</definedName>
    <definedName name="_41__123Graph_XCHART_22" localSheetId="26" hidden="1">#REF!</definedName>
    <definedName name="_41__123Graph_XCHART_22" localSheetId="23" hidden="1">#REF!</definedName>
    <definedName name="_41__123Graph_XCHART_22" localSheetId="22" hidden="1">#REF!</definedName>
    <definedName name="_41__123Graph_XCHART_22" localSheetId="31" hidden="1">#REF!</definedName>
    <definedName name="_41__123Graph_XCHART_22" localSheetId="18" hidden="1">#REF!</definedName>
    <definedName name="_41__123Graph_XCHART_22" localSheetId="54" hidden="1">#REF!</definedName>
    <definedName name="_41__123Graph_XCHART_22" localSheetId="30" hidden="1">#REF!</definedName>
    <definedName name="_41__123Graph_XCHART_22" localSheetId="14" hidden="1">#REF!</definedName>
    <definedName name="_41__123Graph_XCHART_22" localSheetId="38" hidden="1">#REF!</definedName>
    <definedName name="_41__123Graph_XCHART_22" localSheetId="39" hidden="1">#REF!</definedName>
    <definedName name="_41__123Graph_XCHART_22" localSheetId="2" hidden="1">#REF!</definedName>
    <definedName name="_41__123Graph_XCHART_22" localSheetId="58" hidden="1">#REF!</definedName>
    <definedName name="_41__123Graph_XCHART_22" localSheetId="56" hidden="1">#REF!</definedName>
    <definedName name="_41__123Graph_XCHART_22" localSheetId="19" hidden="1">#REF!</definedName>
    <definedName name="_41__123Graph_XCHART_22" localSheetId="9" hidden="1">#REF!</definedName>
    <definedName name="_41__123Graph_XCHART_22" localSheetId="6" hidden="1">#REF!</definedName>
    <definedName name="_41__123Graph_XCHART_22" localSheetId="17" hidden="1">#REF!</definedName>
    <definedName name="_41__123Graph_XCHART_22" hidden="1">#REF!</definedName>
    <definedName name="_42__123Graph_XCHART_23" localSheetId="15" hidden="1">#REF!</definedName>
    <definedName name="_42__123Graph_XCHART_23" localSheetId="41" hidden="1">#REF!</definedName>
    <definedName name="_42__123Graph_XCHART_23" localSheetId="42" hidden="1">#REF!</definedName>
    <definedName name="_42__123Graph_XCHART_23" localSheetId="43" hidden="1">#REF!</definedName>
    <definedName name="_42__123Graph_XCHART_23" localSheetId="16" hidden="1">#REF!</definedName>
    <definedName name="_42__123Graph_XCHART_23" localSheetId="45" hidden="1">#REF!</definedName>
    <definedName name="_42__123Graph_XCHART_23" localSheetId="46" hidden="1">#REF!</definedName>
    <definedName name="_42__123Graph_XCHART_23" localSheetId="47" hidden="1">#REF!</definedName>
    <definedName name="_42__123Graph_XCHART_23" localSheetId="48" hidden="1">#REF!</definedName>
    <definedName name="_42__123Graph_XCHART_23" localSheetId="49" hidden="1">#REF!</definedName>
    <definedName name="_42__123Graph_XCHART_23" localSheetId="50" hidden="1">#REF!</definedName>
    <definedName name="_42__123Graph_XCHART_23" localSheetId="51" hidden="1">#REF!</definedName>
    <definedName name="_42__123Graph_XCHART_23" localSheetId="52" hidden="1">#REF!</definedName>
    <definedName name="_42__123Graph_XCHART_23" localSheetId="10" hidden="1">#REF!</definedName>
    <definedName name="_42__123Graph_XCHART_23" localSheetId="27" hidden="1">#REF!</definedName>
    <definedName name="_42__123Graph_XCHART_23" localSheetId="28" hidden="1">#REF!</definedName>
    <definedName name="_42__123Graph_XCHART_23" localSheetId="8" hidden="1">#REF!</definedName>
    <definedName name="_42__123Graph_XCHART_23" localSheetId="32" hidden="1">#REF!</definedName>
    <definedName name="_42__123Graph_XCHART_23" localSheetId="11" hidden="1">#REF!</definedName>
    <definedName name="_42__123Graph_XCHART_23" localSheetId="35" hidden="1">#REF!</definedName>
    <definedName name="_42__123Graph_XCHART_23" localSheetId="7" hidden="1">#REF!</definedName>
    <definedName name="_42__123Graph_XCHART_23" localSheetId="25" hidden="1">#REF!</definedName>
    <definedName name="_42__123Graph_XCHART_23" localSheetId="26" hidden="1">#REF!</definedName>
    <definedName name="_42__123Graph_XCHART_23" localSheetId="23" hidden="1">#REF!</definedName>
    <definedName name="_42__123Graph_XCHART_23" localSheetId="22" hidden="1">#REF!</definedName>
    <definedName name="_42__123Graph_XCHART_23" localSheetId="31" hidden="1">#REF!</definedName>
    <definedName name="_42__123Graph_XCHART_23" localSheetId="18" hidden="1">#REF!</definedName>
    <definedName name="_42__123Graph_XCHART_23" localSheetId="54" hidden="1">#REF!</definedName>
    <definedName name="_42__123Graph_XCHART_23" localSheetId="30" hidden="1">#REF!</definedName>
    <definedName name="_42__123Graph_XCHART_23" localSheetId="14" hidden="1">#REF!</definedName>
    <definedName name="_42__123Graph_XCHART_23" localSheetId="38" hidden="1">#REF!</definedName>
    <definedName name="_42__123Graph_XCHART_23" localSheetId="39" hidden="1">#REF!</definedName>
    <definedName name="_42__123Graph_XCHART_23" localSheetId="2" hidden="1">#REF!</definedName>
    <definedName name="_42__123Graph_XCHART_23" localSheetId="58" hidden="1">#REF!</definedName>
    <definedName name="_42__123Graph_XCHART_23" localSheetId="56" hidden="1">#REF!</definedName>
    <definedName name="_42__123Graph_XCHART_23" localSheetId="19" hidden="1">#REF!</definedName>
    <definedName name="_42__123Graph_XCHART_23" localSheetId="9" hidden="1">#REF!</definedName>
    <definedName name="_42__123Graph_XCHART_23" localSheetId="6" hidden="1">#REF!</definedName>
    <definedName name="_42__123Graph_XCHART_23" localSheetId="17" hidden="1">#REF!</definedName>
    <definedName name="_42__123Graph_XCHART_23" hidden="1">#REF!</definedName>
    <definedName name="_43__123Graph_XCHART_24" localSheetId="15" hidden="1">#REF!</definedName>
    <definedName name="_43__123Graph_XCHART_24" localSheetId="41" hidden="1">#REF!</definedName>
    <definedName name="_43__123Graph_XCHART_24" localSheetId="42" hidden="1">#REF!</definedName>
    <definedName name="_43__123Graph_XCHART_24" localSheetId="43" hidden="1">#REF!</definedName>
    <definedName name="_43__123Graph_XCHART_24" localSheetId="16" hidden="1">#REF!</definedName>
    <definedName name="_43__123Graph_XCHART_24" localSheetId="45" hidden="1">#REF!</definedName>
    <definedName name="_43__123Graph_XCHART_24" localSheetId="46" hidden="1">#REF!</definedName>
    <definedName name="_43__123Graph_XCHART_24" localSheetId="47" hidden="1">#REF!</definedName>
    <definedName name="_43__123Graph_XCHART_24" localSheetId="48" hidden="1">#REF!</definedName>
    <definedName name="_43__123Graph_XCHART_24" localSheetId="49" hidden="1">#REF!</definedName>
    <definedName name="_43__123Graph_XCHART_24" localSheetId="50" hidden="1">#REF!</definedName>
    <definedName name="_43__123Graph_XCHART_24" localSheetId="51" hidden="1">#REF!</definedName>
    <definedName name="_43__123Graph_XCHART_24" localSheetId="52" hidden="1">#REF!</definedName>
    <definedName name="_43__123Graph_XCHART_24" localSheetId="10" hidden="1">#REF!</definedName>
    <definedName name="_43__123Graph_XCHART_24" localSheetId="27" hidden="1">#REF!</definedName>
    <definedName name="_43__123Graph_XCHART_24" localSheetId="28" hidden="1">#REF!</definedName>
    <definedName name="_43__123Graph_XCHART_24" localSheetId="8" hidden="1">#REF!</definedName>
    <definedName name="_43__123Graph_XCHART_24" localSheetId="32" hidden="1">#REF!</definedName>
    <definedName name="_43__123Graph_XCHART_24" localSheetId="11" hidden="1">#REF!</definedName>
    <definedName name="_43__123Graph_XCHART_24" localSheetId="35" hidden="1">#REF!</definedName>
    <definedName name="_43__123Graph_XCHART_24" localSheetId="7" hidden="1">#REF!</definedName>
    <definedName name="_43__123Graph_XCHART_24" localSheetId="25" hidden="1">#REF!</definedName>
    <definedName name="_43__123Graph_XCHART_24" localSheetId="26" hidden="1">#REF!</definedName>
    <definedName name="_43__123Graph_XCHART_24" localSheetId="23" hidden="1">#REF!</definedName>
    <definedName name="_43__123Graph_XCHART_24" localSheetId="22" hidden="1">#REF!</definedName>
    <definedName name="_43__123Graph_XCHART_24" localSheetId="31" hidden="1">#REF!</definedName>
    <definedName name="_43__123Graph_XCHART_24" localSheetId="18" hidden="1">#REF!</definedName>
    <definedName name="_43__123Graph_XCHART_24" localSheetId="54" hidden="1">#REF!</definedName>
    <definedName name="_43__123Graph_XCHART_24" localSheetId="30" hidden="1">#REF!</definedName>
    <definedName name="_43__123Graph_XCHART_24" localSheetId="14" hidden="1">#REF!</definedName>
    <definedName name="_43__123Graph_XCHART_24" localSheetId="38" hidden="1">#REF!</definedName>
    <definedName name="_43__123Graph_XCHART_24" localSheetId="39" hidden="1">#REF!</definedName>
    <definedName name="_43__123Graph_XCHART_24" localSheetId="2" hidden="1">#REF!</definedName>
    <definedName name="_43__123Graph_XCHART_24" localSheetId="58" hidden="1">#REF!</definedName>
    <definedName name="_43__123Graph_XCHART_24" localSheetId="56" hidden="1">#REF!</definedName>
    <definedName name="_43__123Graph_XCHART_24" localSheetId="19" hidden="1">#REF!</definedName>
    <definedName name="_43__123Graph_XCHART_24" localSheetId="9" hidden="1">#REF!</definedName>
    <definedName name="_43__123Graph_XCHART_24" localSheetId="6" hidden="1">#REF!</definedName>
    <definedName name="_43__123Graph_XCHART_24" localSheetId="17" hidden="1">#REF!</definedName>
    <definedName name="_43__123Graph_XCHART_24" hidden="1">#REF!</definedName>
    <definedName name="_44__123Graph_XCHART_25" localSheetId="15" hidden="1">#REF!</definedName>
    <definedName name="_44__123Graph_XCHART_25" localSheetId="41" hidden="1">#REF!</definedName>
    <definedName name="_44__123Graph_XCHART_25" localSheetId="42" hidden="1">#REF!</definedName>
    <definedName name="_44__123Graph_XCHART_25" localSheetId="43" hidden="1">#REF!</definedName>
    <definedName name="_44__123Graph_XCHART_25" localSheetId="16" hidden="1">#REF!</definedName>
    <definedName name="_44__123Graph_XCHART_25" localSheetId="45" hidden="1">#REF!</definedName>
    <definedName name="_44__123Graph_XCHART_25" localSheetId="46" hidden="1">#REF!</definedName>
    <definedName name="_44__123Graph_XCHART_25" localSheetId="47" hidden="1">#REF!</definedName>
    <definedName name="_44__123Graph_XCHART_25" localSheetId="48" hidden="1">#REF!</definedName>
    <definedName name="_44__123Graph_XCHART_25" localSheetId="49" hidden="1">#REF!</definedName>
    <definedName name="_44__123Graph_XCHART_25" localSheetId="50" hidden="1">#REF!</definedName>
    <definedName name="_44__123Graph_XCHART_25" localSheetId="51" hidden="1">#REF!</definedName>
    <definedName name="_44__123Graph_XCHART_25" localSheetId="52" hidden="1">#REF!</definedName>
    <definedName name="_44__123Graph_XCHART_25" localSheetId="10" hidden="1">#REF!</definedName>
    <definedName name="_44__123Graph_XCHART_25" localSheetId="27" hidden="1">#REF!</definedName>
    <definedName name="_44__123Graph_XCHART_25" localSheetId="28" hidden="1">#REF!</definedName>
    <definedName name="_44__123Graph_XCHART_25" localSheetId="8" hidden="1">#REF!</definedName>
    <definedName name="_44__123Graph_XCHART_25" localSheetId="32" hidden="1">#REF!</definedName>
    <definedName name="_44__123Graph_XCHART_25" localSheetId="11" hidden="1">#REF!</definedName>
    <definedName name="_44__123Graph_XCHART_25" localSheetId="35" hidden="1">#REF!</definedName>
    <definedName name="_44__123Graph_XCHART_25" localSheetId="7" hidden="1">#REF!</definedName>
    <definedName name="_44__123Graph_XCHART_25" localSheetId="25" hidden="1">#REF!</definedName>
    <definedName name="_44__123Graph_XCHART_25" localSheetId="26" hidden="1">#REF!</definedName>
    <definedName name="_44__123Graph_XCHART_25" localSheetId="23" hidden="1">#REF!</definedName>
    <definedName name="_44__123Graph_XCHART_25" localSheetId="22" hidden="1">#REF!</definedName>
    <definedName name="_44__123Graph_XCHART_25" localSheetId="31" hidden="1">#REF!</definedName>
    <definedName name="_44__123Graph_XCHART_25" localSheetId="18" hidden="1">#REF!</definedName>
    <definedName name="_44__123Graph_XCHART_25" localSheetId="54" hidden="1">#REF!</definedName>
    <definedName name="_44__123Graph_XCHART_25" localSheetId="30" hidden="1">#REF!</definedName>
    <definedName name="_44__123Graph_XCHART_25" localSheetId="14" hidden="1">#REF!</definedName>
    <definedName name="_44__123Graph_XCHART_25" localSheetId="38" hidden="1">#REF!</definedName>
    <definedName name="_44__123Graph_XCHART_25" localSheetId="39" hidden="1">#REF!</definedName>
    <definedName name="_44__123Graph_XCHART_25" localSheetId="2" hidden="1">#REF!</definedName>
    <definedName name="_44__123Graph_XCHART_25" localSheetId="58" hidden="1">#REF!</definedName>
    <definedName name="_44__123Graph_XCHART_25" localSheetId="56" hidden="1">#REF!</definedName>
    <definedName name="_44__123Graph_XCHART_25" localSheetId="19" hidden="1">#REF!</definedName>
    <definedName name="_44__123Graph_XCHART_25" localSheetId="9" hidden="1">#REF!</definedName>
    <definedName name="_44__123Graph_XCHART_25" localSheetId="6" hidden="1">#REF!</definedName>
    <definedName name="_44__123Graph_XCHART_25" localSheetId="17" hidden="1">#REF!</definedName>
    <definedName name="_44__123Graph_XCHART_25" hidden="1">#REF!</definedName>
    <definedName name="_45__123Graph_XCHART_26" localSheetId="15" hidden="1">#REF!</definedName>
    <definedName name="_45__123Graph_XCHART_26" localSheetId="41" hidden="1">#REF!</definedName>
    <definedName name="_45__123Graph_XCHART_26" localSheetId="42" hidden="1">#REF!</definedName>
    <definedName name="_45__123Graph_XCHART_26" localSheetId="43" hidden="1">#REF!</definedName>
    <definedName name="_45__123Graph_XCHART_26" localSheetId="16" hidden="1">#REF!</definedName>
    <definedName name="_45__123Graph_XCHART_26" localSheetId="45" hidden="1">#REF!</definedName>
    <definedName name="_45__123Graph_XCHART_26" localSheetId="46" hidden="1">#REF!</definedName>
    <definedName name="_45__123Graph_XCHART_26" localSheetId="47" hidden="1">#REF!</definedName>
    <definedName name="_45__123Graph_XCHART_26" localSheetId="48" hidden="1">#REF!</definedName>
    <definedName name="_45__123Graph_XCHART_26" localSheetId="49" hidden="1">#REF!</definedName>
    <definedName name="_45__123Graph_XCHART_26" localSheetId="50" hidden="1">#REF!</definedName>
    <definedName name="_45__123Graph_XCHART_26" localSheetId="51" hidden="1">#REF!</definedName>
    <definedName name="_45__123Graph_XCHART_26" localSheetId="52" hidden="1">#REF!</definedName>
    <definedName name="_45__123Graph_XCHART_26" localSheetId="10" hidden="1">#REF!</definedName>
    <definedName name="_45__123Graph_XCHART_26" localSheetId="27" hidden="1">#REF!</definedName>
    <definedName name="_45__123Graph_XCHART_26" localSheetId="28" hidden="1">#REF!</definedName>
    <definedName name="_45__123Graph_XCHART_26" localSheetId="8" hidden="1">#REF!</definedName>
    <definedName name="_45__123Graph_XCHART_26" localSheetId="32" hidden="1">#REF!</definedName>
    <definedName name="_45__123Graph_XCHART_26" localSheetId="11" hidden="1">#REF!</definedName>
    <definedName name="_45__123Graph_XCHART_26" localSheetId="35" hidden="1">#REF!</definedName>
    <definedName name="_45__123Graph_XCHART_26" localSheetId="7" hidden="1">#REF!</definedName>
    <definedName name="_45__123Graph_XCHART_26" localSheetId="25" hidden="1">#REF!</definedName>
    <definedName name="_45__123Graph_XCHART_26" localSheetId="26" hidden="1">#REF!</definedName>
    <definedName name="_45__123Graph_XCHART_26" localSheetId="23" hidden="1">#REF!</definedName>
    <definedName name="_45__123Graph_XCHART_26" localSheetId="22" hidden="1">#REF!</definedName>
    <definedName name="_45__123Graph_XCHART_26" localSheetId="31" hidden="1">#REF!</definedName>
    <definedName name="_45__123Graph_XCHART_26" localSheetId="18" hidden="1">#REF!</definedName>
    <definedName name="_45__123Graph_XCHART_26" localSheetId="54" hidden="1">#REF!</definedName>
    <definedName name="_45__123Graph_XCHART_26" localSheetId="30" hidden="1">#REF!</definedName>
    <definedName name="_45__123Graph_XCHART_26" localSheetId="14" hidden="1">#REF!</definedName>
    <definedName name="_45__123Graph_XCHART_26" localSheetId="38" hidden="1">#REF!</definedName>
    <definedName name="_45__123Graph_XCHART_26" localSheetId="39" hidden="1">#REF!</definedName>
    <definedName name="_45__123Graph_XCHART_26" localSheetId="2" hidden="1">#REF!</definedName>
    <definedName name="_45__123Graph_XCHART_26" localSheetId="58" hidden="1">#REF!</definedName>
    <definedName name="_45__123Graph_XCHART_26" localSheetId="56" hidden="1">#REF!</definedName>
    <definedName name="_45__123Graph_XCHART_26" localSheetId="19" hidden="1">#REF!</definedName>
    <definedName name="_45__123Graph_XCHART_26" localSheetId="9" hidden="1">#REF!</definedName>
    <definedName name="_45__123Graph_XCHART_26" localSheetId="6" hidden="1">#REF!</definedName>
    <definedName name="_45__123Graph_XCHART_26" localSheetId="17" hidden="1">#REF!</definedName>
    <definedName name="_45__123Graph_XCHART_26" hidden="1">#REF!</definedName>
    <definedName name="_46__123Graph_XCHART_27" localSheetId="15" hidden="1">#REF!</definedName>
    <definedName name="_46__123Graph_XCHART_27" localSheetId="41" hidden="1">#REF!</definedName>
    <definedName name="_46__123Graph_XCHART_27" localSheetId="42" hidden="1">#REF!</definedName>
    <definedName name="_46__123Graph_XCHART_27" localSheetId="43" hidden="1">#REF!</definedName>
    <definedName name="_46__123Graph_XCHART_27" localSheetId="16" hidden="1">#REF!</definedName>
    <definedName name="_46__123Graph_XCHART_27" localSheetId="45" hidden="1">#REF!</definedName>
    <definedName name="_46__123Graph_XCHART_27" localSheetId="46" hidden="1">#REF!</definedName>
    <definedName name="_46__123Graph_XCHART_27" localSheetId="47" hidden="1">#REF!</definedName>
    <definedName name="_46__123Graph_XCHART_27" localSheetId="48" hidden="1">#REF!</definedName>
    <definedName name="_46__123Graph_XCHART_27" localSheetId="49" hidden="1">#REF!</definedName>
    <definedName name="_46__123Graph_XCHART_27" localSheetId="50" hidden="1">#REF!</definedName>
    <definedName name="_46__123Graph_XCHART_27" localSheetId="51" hidden="1">#REF!</definedName>
    <definedName name="_46__123Graph_XCHART_27" localSheetId="52" hidden="1">#REF!</definedName>
    <definedName name="_46__123Graph_XCHART_27" localSheetId="10" hidden="1">#REF!</definedName>
    <definedName name="_46__123Graph_XCHART_27" localSheetId="27" hidden="1">#REF!</definedName>
    <definedName name="_46__123Graph_XCHART_27" localSheetId="28" hidden="1">#REF!</definedName>
    <definedName name="_46__123Graph_XCHART_27" localSheetId="8" hidden="1">#REF!</definedName>
    <definedName name="_46__123Graph_XCHART_27" localSheetId="32" hidden="1">#REF!</definedName>
    <definedName name="_46__123Graph_XCHART_27" localSheetId="11" hidden="1">#REF!</definedName>
    <definedName name="_46__123Graph_XCHART_27" localSheetId="35" hidden="1">#REF!</definedName>
    <definedName name="_46__123Graph_XCHART_27" localSheetId="7" hidden="1">#REF!</definedName>
    <definedName name="_46__123Graph_XCHART_27" localSheetId="25" hidden="1">#REF!</definedName>
    <definedName name="_46__123Graph_XCHART_27" localSheetId="26" hidden="1">#REF!</definedName>
    <definedName name="_46__123Graph_XCHART_27" localSheetId="23" hidden="1">#REF!</definedName>
    <definedName name="_46__123Graph_XCHART_27" localSheetId="22" hidden="1">#REF!</definedName>
    <definedName name="_46__123Graph_XCHART_27" localSheetId="31" hidden="1">#REF!</definedName>
    <definedName name="_46__123Graph_XCHART_27" localSheetId="18" hidden="1">#REF!</definedName>
    <definedName name="_46__123Graph_XCHART_27" localSheetId="54" hidden="1">#REF!</definedName>
    <definedName name="_46__123Graph_XCHART_27" localSheetId="30" hidden="1">#REF!</definedName>
    <definedName name="_46__123Graph_XCHART_27" localSheetId="14" hidden="1">#REF!</definedName>
    <definedName name="_46__123Graph_XCHART_27" localSheetId="38" hidden="1">#REF!</definedName>
    <definedName name="_46__123Graph_XCHART_27" localSheetId="39" hidden="1">#REF!</definedName>
    <definedName name="_46__123Graph_XCHART_27" localSheetId="2" hidden="1">#REF!</definedName>
    <definedName name="_46__123Graph_XCHART_27" localSheetId="58" hidden="1">#REF!</definedName>
    <definedName name="_46__123Graph_XCHART_27" localSheetId="56" hidden="1">#REF!</definedName>
    <definedName name="_46__123Graph_XCHART_27" localSheetId="19" hidden="1">#REF!</definedName>
    <definedName name="_46__123Graph_XCHART_27" localSheetId="9" hidden="1">#REF!</definedName>
    <definedName name="_46__123Graph_XCHART_27" localSheetId="6" hidden="1">#REF!</definedName>
    <definedName name="_46__123Graph_XCHART_27" localSheetId="17" hidden="1">#REF!</definedName>
    <definedName name="_46__123Graph_XCHART_27" hidden="1">#REF!</definedName>
    <definedName name="_47__123Graph_XCHART_28" localSheetId="15" hidden="1">#REF!</definedName>
    <definedName name="_47__123Graph_XCHART_28" localSheetId="41" hidden="1">#REF!</definedName>
    <definedName name="_47__123Graph_XCHART_28" localSheetId="42" hidden="1">#REF!</definedName>
    <definedName name="_47__123Graph_XCHART_28" localSheetId="43" hidden="1">#REF!</definedName>
    <definedName name="_47__123Graph_XCHART_28" localSheetId="16" hidden="1">#REF!</definedName>
    <definedName name="_47__123Graph_XCHART_28" localSheetId="45" hidden="1">#REF!</definedName>
    <definedName name="_47__123Graph_XCHART_28" localSheetId="46" hidden="1">#REF!</definedName>
    <definedName name="_47__123Graph_XCHART_28" localSheetId="47" hidden="1">#REF!</definedName>
    <definedName name="_47__123Graph_XCHART_28" localSheetId="48" hidden="1">#REF!</definedName>
    <definedName name="_47__123Graph_XCHART_28" localSheetId="49" hidden="1">#REF!</definedName>
    <definedName name="_47__123Graph_XCHART_28" localSheetId="50" hidden="1">#REF!</definedName>
    <definedName name="_47__123Graph_XCHART_28" localSheetId="51" hidden="1">#REF!</definedName>
    <definedName name="_47__123Graph_XCHART_28" localSheetId="52" hidden="1">#REF!</definedName>
    <definedName name="_47__123Graph_XCHART_28" localSheetId="10" hidden="1">#REF!</definedName>
    <definedName name="_47__123Graph_XCHART_28" localSheetId="27" hidden="1">#REF!</definedName>
    <definedName name="_47__123Graph_XCHART_28" localSheetId="28" hidden="1">#REF!</definedName>
    <definedName name="_47__123Graph_XCHART_28" localSheetId="8" hidden="1">#REF!</definedName>
    <definedName name="_47__123Graph_XCHART_28" localSheetId="32" hidden="1">#REF!</definedName>
    <definedName name="_47__123Graph_XCHART_28" localSheetId="11" hidden="1">#REF!</definedName>
    <definedName name="_47__123Graph_XCHART_28" localSheetId="35" hidden="1">#REF!</definedName>
    <definedName name="_47__123Graph_XCHART_28" localSheetId="7" hidden="1">#REF!</definedName>
    <definedName name="_47__123Graph_XCHART_28" localSheetId="25" hidden="1">#REF!</definedName>
    <definedName name="_47__123Graph_XCHART_28" localSheetId="26" hidden="1">#REF!</definedName>
    <definedName name="_47__123Graph_XCHART_28" localSheetId="23" hidden="1">#REF!</definedName>
    <definedName name="_47__123Graph_XCHART_28" localSheetId="22" hidden="1">#REF!</definedName>
    <definedName name="_47__123Graph_XCHART_28" localSheetId="31" hidden="1">#REF!</definedName>
    <definedName name="_47__123Graph_XCHART_28" localSheetId="18" hidden="1">#REF!</definedName>
    <definedName name="_47__123Graph_XCHART_28" localSheetId="54" hidden="1">#REF!</definedName>
    <definedName name="_47__123Graph_XCHART_28" localSheetId="30" hidden="1">#REF!</definedName>
    <definedName name="_47__123Graph_XCHART_28" localSheetId="14" hidden="1">#REF!</definedName>
    <definedName name="_47__123Graph_XCHART_28" localSheetId="38" hidden="1">#REF!</definedName>
    <definedName name="_47__123Graph_XCHART_28" localSheetId="39" hidden="1">#REF!</definedName>
    <definedName name="_47__123Graph_XCHART_28" localSheetId="2" hidden="1">#REF!</definedName>
    <definedName name="_47__123Graph_XCHART_28" localSheetId="58" hidden="1">#REF!</definedName>
    <definedName name="_47__123Graph_XCHART_28" localSheetId="56" hidden="1">#REF!</definedName>
    <definedName name="_47__123Graph_XCHART_28" localSheetId="19" hidden="1">#REF!</definedName>
    <definedName name="_47__123Graph_XCHART_28" localSheetId="9" hidden="1">#REF!</definedName>
    <definedName name="_47__123Graph_XCHART_28" localSheetId="6" hidden="1">#REF!</definedName>
    <definedName name="_47__123Graph_XCHART_28" localSheetId="17" hidden="1">#REF!</definedName>
    <definedName name="_47__123Graph_XCHART_28" hidden="1">#REF!</definedName>
    <definedName name="_48__123Graph_XCHART_29" localSheetId="15" hidden="1">#REF!</definedName>
    <definedName name="_48__123Graph_XCHART_29" localSheetId="41" hidden="1">#REF!</definedName>
    <definedName name="_48__123Graph_XCHART_29" localSheetId="42" hidden="1">#REF!</definedName>
    <definedName name="_48__123Graph_XCHART_29" localSheetId="43" hidden="1">#REF!</definedName>
    <definedName name="_48__123Graph_XCHART_29" localSheetId="16" hidden="1">#REF!</definedName>
    <definedName name="_48__123Graph_XCHART_29" localSheetId="45" hidden="1">#REF!</definedName>
    <definedName name="_48__123Graph_XCHART_29" localSheetId="46" hidden="1">#REF!</definedName>
    <definedName name="_48__123Graph_XCHART_29" localSheetId="47" hidden="1">#REF!</definedName>
    <definedName name="_48__123Graph_XCHART_29" localSheetId="48" hidden="1">#REF!</definedName>
    <definedName name="_48__123Graph_XCHART_29" localSheetId="49" hidden="1">#REF!</definedName>
    <definedName name="_48__123Graph_XCHART_29" localSheetId="50" hidden="1">#REF!</definedName>
    <definedName name="_48__123Graph_XCHART_29" localSheetId="51" hidden="1">#REF!</definedName>
    <definedName name="_48__123Graph_XCHART_29" localSheetId="52" hidden="1">#REF!</definedName>
    <definedName name="_48__123Graph_XCHART_29" localSheetId="10" hidden="1">#REF!</definedName>
    <definedName name="_48__123Graph_XCHART_29" localSheetId="27" hidden="1">#REF!</definedName>
    <definedName name="_48__123Graph_XCHART_29" localSheetId="28" hidden="1">#REF!</definedName>
    <definedName name="_48__123Graph_XCHART_29" localSheetId="8" hidden="1">#REF!</definedName>
    <definedName name="_48__123Graph_XCHART_29" localSheetId="32" hidden="1">#REF!</definedName>
    <definedName name="_48__123Graph_XCHART_29" localSheetId="11" hidden="1">#REF!</definedName>
    <definedName name="_48__123Graph_XCHART_29" localSheetId="35" hidden="1">#REF!</definedName>
    <definedName name="_48__123Graph_XCHART_29" localSheetId="7" hidden="1">#REF!</definedName>
    <definedName name="_48__123Graph_XCHART_29" localSheetId="25" hidden="1">#REF!</definedName>
    <definedName name="_48__123Graph_XCHART_29" localSheetId="26" hidden="1">#REF!</definedName>
    <definedName name="_48__123Graph_XCHART_29" localSheetId="23" hidden="1">#REF!</definedName>
    <definedName name="_48__123Graph_XCHART_29" localSheetId="22" hidden="1">#REF!</definedName>
    <definedName name="_48__123Graph_XCHART_29" localSheetId="31" hidden="1">#REF!</definedName>
    <definedName name="_48__123Graph_XCHART_29" localSheetId="18" hidden="1">#REF!</definedName>
    <definedName name="_48__123Graph_XCHART_29" localSheetId="54" hidden="1">#REF!</definedName>
    <definedName name="_48__123Graph_XCHART_29" localSheetId="30" hidden="1">#REF!</definedName>
    <definedName name="_48__123Graph_XCHART_29" localSheetId="14" hidden="1">#REF!</definedName>
    <definedName name="_48__123Graph_XCHART_29" localSheetId="38" hidden="1">#REF!</definedName>
    <definedName name="_48__123Graph_XCHART_29" localSheetId="39" hidden="1">#REF!</definedName>
    <definedName name="_48__123Graph_XCHART_29" localSheetId="2" hidden="1">#REF!</definedName>
    <definedName name="_48__123Graph_XCHART_29" localSheetId="58" hidden="1">#REF!</definedName>
    <definedName name="_48__123Graph_XCHART_29" localSheetId="56" hidden="1">#REF!</definedName>
    <definedName name="_48__123Graph_XCHART_29" localSheetId="19" hidden="1">#REF!</definedName>
    <definedName name="_48__123Graph_XCHART_29" localSheetId="9" hidden="1">#REF!</definedName>
    <definedName name="_48__123Graph_XCHART_29" localSheetId="6" hidden="1">#REF!</definedName>
    <definedName name="_48__123Graph_XCHART_29" localSheetId="17" hidden="1">#REF!</definedName>
    <definedName name="_48__123Graph_XCHART_29" hidden="1">#REF!</definedName>
    <definedName name="_49__123Graph_XCHART_3" localSheetId="15" hidden="1">#REF!</definedName>
    <definedName name="_49__123Graph_XCHART_3" localSheetId="41" hidden="1">#REF!</definedName>
    <definedName name="_49__123Graph_XCHART_3" localSheetId="42" hidden="1">#REF!</definedName>
    <definedName name="_49__123Graph_XCHART_3" localSheetId="43" hidden="1">#REF!</definedName>
    <definedName name="_49__123Graph_XCHART_3" localSheetId="16" hidden="1">#REF!</definedName>
    <definedName name="_49__123Graph_XCHART_3" localSheetId="45" hidden="1">#REF!</definedName>
    <definedName name="_49__123Graph_XCHART_3" localSheetId="46" hidden="1">#REF!</definedName>
    <definedName name="_49__123Graph_XCHART_3" localSheetId="47" hidden="1">#REF!</definedName>
    <definedName name="_49__123Graph_XCHART_3" localSheetId="48" hidden="1">#REF!</definedName>
    <definedName name="_49__123Graph_XCHART_3" localSheetId="49" hidden="1">#REF!</definedName>
    <definedName name="_49__123Graph_XCHART_3" localSheetId="50" hidden="1">#REF!</definedName>
    <definedName name="_49__123Graph_XCHART_3" localSheetId="51" hidden="1">#REF!</definedName>
    <definedName name="_49__123Graph_XCHART_3" localSheetId="52" hidden="1">#REF!</definedName>
    <definedName name="_49__123Graph_XCHART_3" localSheetId="10" hidden="1">#REF!</definedName>
    <definedName name="_49__123Graph_XCHART_3" localSheetId="27" hidden="1">#REF!</definedName>
    <definedName name="_49__123Graph_XCHART_3" localSheetId="28" hidden="1">#REF!</definedName>
    <definedName name="_49__123Graph_XCHART_3" localSheetId="8" hidden="1">#REF!</definedName>
    <definedName name="_49__123Graph_XCHART_3" localSheetId="32" hidden="1">#REF!</definedName>
    <definedName name="_49__123Graph_XCHART_3" localSheetId="11" hidden="1">#REF!</definedName>
    <definedName name="_49__123Graph_XCHART_3" localSheetId="35" hidden="1">#REF!</definedName>
    <definedName name="_49__123Graph_XCHART_3" localSheetId="7" hidden="1">#REF!</definedName>
    <definedName name="_49__123Graph_XCHART_3" localSheetId="25" hidden="1">#REF!</definedName>
    <definedName name="_49__123Graph_XCHART_3" localSheetId="26" hidden="1">#REF!</definedName>
    <definedName name="_49__123Graph_XCHART_3" localSheetId="23" hidden="1">#REF!</definedName>
    <definedName name="_49__123Graph_XCHART_3" localSheetId="22" hidden="1">#REF!</definedName>
    <definedName name="_49__123Graph_XCHART_3" localSheetId="31" hidden="1">#REF!</definedName>
    <definedName name="_49__123Graph_XCHART_3" localSheetId="18" hidden="1">#REF!</definedName>
    <definedName name="_49__123Graph_XCHART_3" localSheetId="54" hidden="1">#REF!</definedName>
    <definedName name="_49__123Graph_XCHART_3" localSheetId="30" hidden="1">#REF!</definedName>
    <definedName name="_49__123Graph_XCHART_3" localSheetId="14" hidden="1">#REF!</definedName>
    <definedName name="_49__123Graph_XCHART_3" localSheetId="38" hidden="1">#REF!</definedName>
    <definedName name="_49__123Graph_XCHART_3" localSheetId="39" hidden="1">#REF!</definedName>
    <definedName name="_49__123Graph_XCHART_3" localSheetId="2" hidden="1">#REF!</definedName>
    <definedName name="_49__123Graph_XCHART_3" localSheetId="58" hidden="1">#REF!</definedName>
    <definedName name="_49__123Graph_XCHART_3" localSheetId="56" hidden="1">#REF!</definedName>
    <definedName name="_49__123Graph_XCHART_3" localSheetId="19" hidden="1">#REF!</definedName>
    <definedName name="_49__123Graph_XCHART_3" localSheetId="9" hidden="1">#REF!</definedName>
    <definedName name="_49__123Graph_XCHART_3" localSheetId="6" hidden="1">#REF!</definedName>
    <definedName name="_49__123Graph_XCHART_3" localSheetId="17" hidden="1">#REF!</definedName>
    <definedName name="_49__123Graph_XCHART_3" hidden="1">#REF!</definedName>
    <definedName name="_5__123Graph_ACHART_15" localSheetId="15" hidden="1">#REF!</definedName>
    <definedName name="_5__123Graph_ACHART_15" localSheetId="41" hidden="1">#REF!</definedName>
    <definedName name="_5__123Graph_ACHART_15" localSheetId="42" hidden="1">#REF!</definedName>
    <definedName name="_5__123Graph_ACHART_15" localSheetId="43" hidden="1">#REF!</definedName>
    <definedName name="_5__123Graph_ACHART_15" localSheetId="16" hidden="1">#REF!</definedName>
    <definedName name="_5__123Graph_ACHART_15" localSheetId="45" hidden="1">#REF!</definedName>
    <definedName name="_5__123Graph_ACHART_15" localSheetId="46" hidden="1">#REF!</definedName>
    <definedName name="_5__123Graph_ACHART_15" localSheetId="47" hidden="1">#REF!</definedName>
    <definedName name="_5__123Graph_ACHART_15" localSheetId="48" hidden="1">#REF!</definedName>
    <definedName name="_5__123Graph_ACHART_15" localSheetId="49" hidden="1">#REF!</definedName>
    <definedName name="_5__123Graph_ACHART_15" localSheetId="50" hidden="1">#REF!</definedName>
    <definedName name="_5__123Graph_ACHART_15" localSheetId="51" hidden="1">#REF!</definedName>
    <definedName name="_5__123Graph_ACHART_15" localSheetId="52" hidden="1">#REF!</definedName>
    <definedName name="_5__123Graph_ACHART_15" localSheetId="10" hidden="1">#REF!</definedName>
    <definedName name="_5__123Graph_ACHART_15" localSheetId="27" hidden="1">#REF!</definedName>
    <definedName name="_5__123Graph_ACHART_15" localSheetId="28" hidden="1">#REF!</definedName>
    <definedName name="_5__123Graph_ACHART_15" localSheetId="8" hidden="1">#REF!</definedName>
    <definedName name="_5__123Graph_ACHART_15" localSheetId="32" hidden="1">#REF!</definedName>
    <definedName name="_5__123Graph_ACHART_15" localSheetId="11" hidden="1">#REF!</definedName>
    <definedName name="_5__123Graph_ACHART_15" localSheetId="35" hidden="1">#REF!</definedName>
    <definedName name="_5__123Graph_ACHART_15" localSheetId="7" hidden="1">#REF!</definedName>
    <definedName name="_5__123Graph_ACHART_15" localSheetId="25" hidden="1">#REF!</definedName>
    <definedName name="_5__123Graph_ACHART_15" localSheetId="26" hidden="1">#REF!</definedName>
    <definedName name="_5__123Graph_ACHART_15" localSheetId="23" hidden="1">#REF!</definedName>
    <definedName name="_5__123Graph_ACHART_15" localSheetId="22" hidden="1">#REF!</definedName>
    <definedName name="_5__123Graph_ACHART_15" localSheetId="31" hidden="1">#REF!</definedName>
    <definedName name="_5__123Graph_ACHART_15" localSheetId="18" hidden="1">#REF!</definedName>
    <definedName name="_5__123Graph_ACHART_15" localSheetId="54" hidden="1">#REF!</definedName>
    <definedName name="_5__123Graph_ACHART_15" localSheetId="30" hidden="1">#REF!</definedName>
    <definedName name="_5__123Graph_ACHART_15" localSheetId="14" hidden="1">#REF!</definedName>
    <definedName name="_5__123Graph_ACHART_15" localSheetId="38" hidden="1">#REF!</definedName>
    <definedName name="_5__123Graph_ACHART_15" localSheetId="39" hidden="1">#REF!</definedName>
    <definedName name="_5__123Graph_ACHART_15" localSheetId="2" hidden="1">#REF!</definedName>
    <definedName name="_5__123Graph_ACHART_15" localSheetId="58" hidden="1">#REF!</definedName>
    <definedName name="_5__123Graph_ACHART_15" localSheetId="56" hidden="1">#REF!</definedName>
    <definedName name="_5__123Graph_ACHART_15" localSheetId="19" hidden="1">#REF!</definedName>
    <definedName name="_5__123Graph_ACHART_15" localSheetId="9" hidden="1">#REF!</definedName>
    <definedName name="_5__123Graph_ACHART_15" localSheetId="6" hidden="1">#REF!</definedName>
    <definedName name="_5__123Graph_ACHART_15" localSheetId="17" hidden="1">#REF!</definedName>
    <definedName name="_5__123Graph_ACHART_15" hidden="1">#REF!</definedName>
    <definedName name="_50__123Graph_XCHART_30" localSheetId="15" hidden="1">#REF!</definedName>
    <definedName name="_50__123Graph_XCHART_30" localSheetId="41" hidden="1">#REF!</definedName>
    <definedName name="_50__123Graph_XCHART_30" localSheetId="42" hidden="1">#REF!</definedName>
    <definedName name="_50__123Graph_XCHART_30" localSheetId="43" hidden="1">#REF!</definedName>
    <definedName name="_50__123Graph_XCHART_30" localSheetId="16" hidden="1">#REF!</definedName>
    <definedName name="_50__123Graph_XCHART_30" localSheetId="45" hidden="1">#REF!</definedName>
    <definedName name="_50__123Graph_XCHART_30" localSheetId="46" hidden="1">#REF!</definedName>
    <definedName name="_50__123Graph_XCHART_30" localSheetId="47" hidden="1">#REF!</definedName>
    <definedName name="_50__123Graph_XCHART_30" localSheetId="48" hidden="1">#REF!</definedName>
    <definedName name="_50__123Graph_XCHART_30" localSheetId="49" hidden="1">#REF!</definedName>
    <definedName name="_50__123Graph_XCHART_30" localSheetId="50" hidden="1">#REF!</definedName>
    <definedName name="_50__123Graph_XCHART_30" localSheetId="51" hidden="1">#REF!</definedName>
    <definedName name="_50__123Graph_XCHART_30" localSheetId="52" hidden="1">#REF!</definedName>
    <definedName name="_50__123Graph_XCHART_30" localSheetId="10" hidden="1">#REF!</definedName>
    <definedName name="_50__123Graph_XCHART_30" localSheetId="27" hidden="1">#REF!</definedName>
    <definedName name="_50__123Graph_XCHART_30" localSheetId="28" hidden="1">#REF!</definedName>
    <definedName name="_50__123Graph_XCHART_30" localSheetId="8" hidden="1">#REF!</definedName>
    <definedName name="_50__123Graph_XCHART_30" localSheetId="32" hidden="1">#REF!</definedName>
    <definedName name="_50__123Graph_XCHART_30" localSheetId="11" hidden="1">#REF!</definedName>
    <definedName name="_50__123Graph_XCHART_30" localSheetId="35" hidden="1">#REF!</definedName>
    <definedName name="_50__123Graph_XCHART_30" localSheetId="7" hidden="1">#REF!</definedName>
    <definedName name="_50__123Graph_XCHART_30" localSheetId="25" hidden="1">#REF!</definedName>
    <definedName name="_50__123Graph_XCHART_30" localSheetId="26" hidden="1">#REF!</definedName>
    <definedName name="_50__123Graph_XCHART_30" localSheetId="23" hidden="1">#REF!</definedName>
    <definedName name="_50__123Graph_XCHART_30" localSheetId="22" hidden="1">#REF!</definedName>
    <definedName name="_50__123Graph_XCHART_30" localSheetId="31" hidden="1">#REF!</definedName>
    <definedName name="_50__123Graph_XCHART_30" localSheetId="18" hidden="1">#REF!</definedName>
    <definedName name="_50__123Graph_XCHART_30" localSheetId="54" hidden="1">#REF!</definedName>
    <definedName name="_50__123Graph_XCHART_30" localSheetId="30" hidden="1">#REF!</definedName>
    <definedName name="_50__123Graph_XCHART_30" localSheetId="14" hidden="1">#REF!</definedName>
    <definedName name="_50__123Graph_XCHART_30" localSheetId="38" hidden="1">#REF!</definedName>
    <definedName name="_50__123Graph_XCHART_30" localSheetId="39" hidden="1">#REF!</definedName>
    <definedName name="_50__123Graph_XCHART_30" localSheetId="2" hidden="1">#REF!</definedName>
    <definedName name="_50__123Graph_XCHART_30" localSheetId="58" hidden="1">#REF!</definedName>
    <definedName name="_50__123Graph_XCHART_30" localSheetId="56" hidden="1">#REF!</definedName>
    <definedName name="_50__123Graph_XCHART_30" localSheetId="19" hidden="1">#REF!</definedName>
    <definedName name="_50__123Graph_XCHART_30" localSheetId="9" hidden="1">#REF!</definedName>
    <definedName name="_50__123Graph_XCHART_30" localSheetId="6" hidden="1">#REF!</definedName>
    <definedName name="_50__123Graph_XCHART_30" localSheetId="17" hidden="1">#REF!</definedName>
    <definedName name="_50__123Graph_XCHART_30" hidden="1">#REF!</definedName>
    <definedName name="_51__123Graph_XCHART_31" localSheetId="15" hidden="1">#REF!</definedName>
    <definedName name="_51__123Graph_XCHART_31" localSheetId="41" hidden="1">#REF!</definedName>
    <definedName name="_51__123Graph_XCHART_31" localSheetId="42" hidden="1">#REF!</definedName>
    <definedName name="_51__123Graph_XCHART_31" localSheetId="43" hidden="1">#REF!</definedName>
    <definedName name="_51__123Graph_XCHART_31" localSheetId="16" hidden="1">#REF!</definedName>
    <definedName name="_51__123Graph_XCHART_31" localSheetId="45" hidden="1">#REF!</definedName>
    <definedName name="_51__123Graph_XCHART_31" localSheetId="46" hidden="1">#REF!</definedName>
    <definedName name="_51__123Graph_XCHART_31" localSheetId="47" hidden="1">#REF!</definedName>
    <definedName name="_51__123Graph_XCHART_31" localSheetId="48" hidden="1">#REF!</definedName>
    <definedName name="_51__123Graph_XCHART_31" localSheetId="49" hidden="1">#REF!</definedName>
    <definedName name="_51__123Graph_XCHART_31" localSheetId="50" hidden="1">#REF!</definedName>
    <definedName name="_51__123Graph_XCHART_31" localSheetId="51" hidden="1">#REF!</definedName>
    <definedName name="_51__123Graph_XCHART_31" localSheetId="52" hidden="1">#REF!</definedName>
    <definedName name="_51__123Graph_XCHART_31" localSheetId="10" hidden="1">#REF!</definedName>
    <definedName name="_51__123Graph_XCHART_31" localSheetId="27" hidden="1">#REF!</definedName>
    <definedName name="_51__123Graph_XCHART_31" localSheetId="28" hidden="1">#REF!</definedName>
    <definedName name="_51__123Graph_XCHART_31" localSheetId="8" hidden="1">#REF!</definedName>
    <definedName name="_51__123Graph_XCHART_31" localSheetId="32" hidden="1">#REF!</definedName>
    <definedName name="_51__123Graph_XCHART_31" localSheetId="11" hidden="1">#REF!</definedName>
    <definedName name="_51__123Graph_XCHART_31" localSheetId="35" hidden="1">#REF!</definedName>
    <definedName name="_51__123Graph_XCHART_31" localSheetId="7" hidden="1">#REF!</definedName>
    <definedName name="_51__123Graph_XCHART_31" localSheetId="25" hidden="1">#REF!</definedName>
    <definedName name="_51__123Graph_XCHART_31" localSheetId="26" hidden="1">#REF!</definedName>
    <definedName name="_51__123Graph_XCHART_31" localSheetId="23" hidden="1">#REF!</definedName>
    <definedName name="_51__123Graph_XCHART_31" localSheetId="22" hidden="1">#REF!</definedName>
    <definedName name="_51__123Graph_XCHART_31" localSheetId="31" hidden="1">#REF!</definedName>
    <definedName name="_51__123Graph_XCHART_31" localSheetId="18" hidden="1">#REF!</definedName>
    <definedName name="_51__123Graph_XCHART_31" localSheetId="54" hidden="1">#REF!</definedName>
    <definedName name="_51__123Graph_XCHART_31" localSheetId="30" hidden="1">#REF!</definedName>
    <definedName name="_51__123Graph_XCHART_31" localSheetId="14" hidden="1">#REF!</definedName>
    <definedName name="_51__123Graph_XCHART_31" localSheetId="38" hidden="1">#REF!</definedName>
    <definedName name="_51__123Graph_XCHART_31" localSheetId="39" hidden="1">#REF!</definedName>
    <definedName name="_51__123Graph_XCHART_31" localSheetId="2" hidden="1">#REF!</definedName>
    <definedName name="_51__123Graph_XCHART_31" localSheetId="58" hidden="1">#REF!</definedName>
    <definedName name="_51__123Graph_XCHART_31" localSheetId="56" hidden="1">#REF!</definedName>
    <definedName name="_51__123Graph_XCHART_31" localSheetId="19" hidden="1">#REF!</definedName>
    <definedName name="_51__123Graph_XCHART_31" localSheetId="9" hidden="1">#REF!</definedName>
    <definedName name="_51__123Graph_XCHART_31" localSheetId="6" hidden="1">#REF!</definedName>
    <definedName name="_51__123Graph_XCHART_31" localSheetId="17" hidden="1">#REF!</definedName>
    <definedName name="_51__123Graph_XCHART_31" hidden="1">#REF!</definedName>
    <definedName name="_52__123Graph_XCHART_32" localSheetId="15" hidden="1">#REF!</definedName>
    <definedName name="_52__123Graph_XCHART_32" localSheetId="41" hidden="1">#REF!</definedName>
    <definedName name="_52__123Graph_XCHART_32" localSheetId="42" hidden="1">#REF!</definedName>
    <definedName name="_52__123Graph_XCHART_32" localSheetId="43" hidden="1">#REF!</definedName>
    <definedName name="_52__123Graph_XCHART_32" localSheetId="16" hidden="1">#REF!</definedName>
    <definedName name="_52__123Graph_XCHART_32" localSheetId="45" hidden="1">#REF!</definedName>
    <definedName name="_52__123Graph_XCHART_32" localSheetId="46" hidden="1">#REF!</definedName>
    <definedName name="_52__123Graph_XCHART_32" localSheetId="47" hidden="1">#REF!</definedName>
    <definedName name="_52__123Graph_XCHART_32" localSheetId="48" hidden="1">#REF!</definedName>
    <definedName name="_52__123Graph_XCHART_32" localSheetId="49" hidden="1">#REF!</definedName>
    <definedName name="_52__123Graph_XCHART_32" localSheetId="50" hidden="1">#REF!</definedName>
    <definedName name="_52__123Graph_XCHART_32" localSheetId="51" hidden="1">#REF!</definedName>
    <definedName name="_52__123Graph_XCHART_32" localSheetId="52" hidden="1">#REF!</definedName>
    <definedName name="_52__123Graph_XCHART_32" localSheetId="10" hidden="1">#REF!</definedName>
    <definedName name="_52__123Graph_XCHART_32" localSheetId="27" hidden="1">#REF!</definedName>
    <definedName name="_52__123Graph_XCHART_32" localSheetId="28" hidden="1">#REF!</definedName>
    <definedName name="_52__123Graph_XCHART_32" localSheetId="8" hidden="1">#REF!</definedName>
    <definedName name="_52__123Graph_XCHART_32" localSheetId="32" hidden="1">#REF!</definedName>
    <definedName name="_52__123Graph_XCHART_32" localSheetId="11" hidden="1">#REF!</definedName>
    <definedName name="_52__123Graph_XCHART_32" localSheetId="35" hidden="1">#REF!</definedName>
    <definedName name="_52__123Graph_XCHART_32" localSheetId="7" hidden="1">#REF!</definedName>
    <definedName name="_52__123Graph_XCHART_32" localSheetId="25" hidden="1">#REF!</definedName>
    <definedName name="_52__123Graph_XCHART_32" localSheetId="26" hidden="1">#REF!</definedName>
    <definedName name="_52__123Graph_XCHART_32" localSheetId="23" hidden="1">#REF!</definedName>
    <definedName name="_52__123Graph_XCHART_32" localSheetId="22" hidden="1">#REF!</definedName>
    <definedName name="_52__123Graph_XCHART_32" localSheetId="31" hidden="1">#REF!</definedName>
    <definedName name="_52__123Graph_XCHART_32" localSheetId="18" hidden="1">#REF!</definedName>
    <definedName name="_52__123Graph_XCHART_32" localSheetId="54" hidden="1">#REF!</definedName>
    <definedName name="_52__123Graph_XCHART_32" localSheetId="30" hidden="1">#REF!</definedName>
    <definedName name="_52__123Graph_XCHART_32" localSheetId="14" hidden="1">#REF!</definedName>
    <definedName name="_52__123Graph_XCHART_32" localSheetId="38" hidden="1">#REF!</definedName>
    <definedName name="_52__123Graph_XCHART_32" localSheetId="39" hidden="1">#REF!</definedName>
    <definedName name="_52__123Graph_XCHART_32" localSheetId="2" hidden="1">#REF!</definedName>
    <definedName name="_52__123Graph_XCHART_32" localSheetId="58" hidden="1">#REF!</definedName>
    <definedName name="_52__123Graph_XCHART_32" localSheetId="56" hidden="1">#REF!</definedName>
    <definedName name="_52__123Graph_XCHART_32" localSheetId="19" hidden="1">#REF!</definedName>
    <definedName name="_52__123Graph_XCHART_32" localSheetId="9" hidden="1">#REF!</definedName>
    <definedName name="_52__123Graph_XCHART_32" localSheetId="6" hidden="1">#REF!</definedName>
    <definedName name="_52__123Graph_XCHART_32" localSheetId="17" hidden="1">#REF!</definedName>
    <definedName name="_52__123Graph_XCHART_32" hidden="1">#REF!</definedName>
    <definedName name="_53__123Graph_XCHART_4" localSheetId="15" hidden="1">#REF!</definedName>
    <definedName name="_53__123Graph_XCHART_4" localSheetId="41" hidden="1">#REF!</definedName>
    <definedName name="_53__123Graph_XCHART_4" localSheetId="42" hidden="1">#REF!</definedName>
    <definedName name="_53__123Graph_XCHART_4" localSheetId="43" hidden="1">#REF!</definedName>
    <definedName name="_53__123Graph_XCHART_4" localSheetId="16" hidden="1">#REF!</definedName>
    <definedName name="_53__123Graph_XCHART_4" localSheetId="45" hidden="1">#REF!</definedName>
    <definedName name="_53__123Graph_XCHART_4" localSheetId="46" hidden="1">#REF!</definedName>
    <definedName name="_53__123Graph_XCHART_4" localSheetId="47" hidden="1">#REF!</definedName>
    <definedName name="_53__123Graph_XCHART_4" localSheetId="48" hidden="1">#REF!</definedName>
    <definedName name="_53__123Graph_XCHART_4" localSheetId="49" hidden="1">#REF!</definedName>
    <definedName name="_53__123Graph_XCHART_4" localSheetId="50" hidden="1">#REF!</definedName>
    <definedName name="_53__123Graph_XCHART_4" localSheetId="51" hidden="1">#REF!</definedName>
    <definedName name="_53__123Graph_XCHART_4" localSheetId="52" hidden="1">#REF!</definedName>
    <definedName name="_53__123Graph_XCHART_4" localSheetId="10" hidden="1">#REF!</definedName>
    <definedName name="_53__123Graph_XCHART_4" localSheetId="27" hidden="1">#REF!</definedName>
    <definedName name="_53__123Graph_XCHART_4" localSheetId="28" hidden="1">#REF!</definedName>
    <definedName name="_53__123Graph_XCHART_4" localSheetId="8" hidden="1">#REF!</definedName>
    <definedName name="_53__123Graph_XCHART_4" localSheetId="32" hidden="1">#REF!</definedName>
    <definedName name="_53__123Graph_XCHART_4" localSheetId="11" hidden="1">#REF!</definedName>
    <definedName name="_53__123Graph_XCHART_4" localSheetId="35" hidden="1">#REF!</definedName>
    <definedName name="_53__123Graph_XCHART_4" localSheetId="7" hidden="1">#REF!</definedName>
    <definedName name="_53__123Graph_XCHART_4" localSheetId="25" hidden="1">#REF!</definedName>
    <definedName name="_53__123Graph_XCHART_4" localSheetId="26" hidden="1">#REF!</definedName>
    <definedName name="_53__123Graph_XCHART_4" localSheetId="23" hidden="1">#REF!</definedName>
    <definedName name="_53__123Graph_XCHART_4" localSheetId="22" hidden="1">#REF!</definedName>
    <definedName name="_53__123Graph_XCHART_4" localSheetId="31" hidden="1">#REF!</definedName>
    <definedName name="_53__123Graph_XCHART_4" localSheetId="18" hidden="1">#REF!</definedName>
    <definedName name="_53__123Graph_XCHART_4" localSheetId="54" hidden="1">#REF!</definedName>
    <definedName name="_53__123Graph_XCHART_4" localSheetId="30" hidden="1">#REF!</definedName>
    <definedName name="_53__123Graph_XCHART_4" localSheetId="14" hidden="1">#REF!</definedName>
    <definedName name="_53__123Graph_XCHART_4" localSheetId="38" hidden="1">#REF!</definedName>
    <definedName name="_53__123Graph_XCHART_4" localSheetId="39" hidden="1">#REF!</definedName>
    <definedName name="_53__123Graph_XCHART_4" localSheetId="2" hidden="1">#REF!</definedName>
    <definedName name="_53__123Graph_XCHART_4" localSheetId="58" hidden="1">#REF!</definedName>
    <definedName name="_53__123Graph_XCHART_4" localSheetId="56" hidden="1">#REF!</definedName>
    <definedName name="_53__123Graph_XCHART_4" localSheetId="19" hidden="1">#REF!</definedName>
    <definedName name="_53__123Graph_XCHART_4" localSheetId="9" hidden="1">#REF!</definedName>
    <definedName name="_53__123Graph_XCHART_4" localSheetId="6" hidden="1">#REF!</definedName>
    <definedName name="_53__123Graph_XCHART_4" localSheetId="17" hidden="1">#REF!</definedName>
    <definedName name="_53__123Graph_XCHART_4" hidden="1">#REF!</definedName>
    <definedName name="_54__123Graph_XCHART_5" localSheetId="15" hidden="1">#REF!</definedName>
    <definedName name="_54__123Graph_XCHART_5" localSheetId="41" hidden="1">#REF!</definedName>
    <definedName name="_54__123Graph_XCHART_5" localSheetId="42" hidden="1">#REF!</definedName>
    <definedName name="_54__123Graph_XCHART_5" localSheetId="43" hidden="1">#REF!</definedName>
    <definedName name="_54__123Graph_XCHART_5" localSheetId="16" hidden="1">#REF!</definedName>
    <definedName name="_54__123Graph_XCHART_5" localSheetId="45" hidden="1">#REF!</definedName>
    <definedName name="_54__123Graph_XCHART_5" localSheetId="46" hidden="1">#REF!</definedName>
    <definedName name="_54__123Graph_XCHART_5" localSheetId="47" hidden="1">#REF!</definedName>
    <definedName name="_54__123Graph_XCHART_5" localSheetId="48" hidden="1">#REF!</definedName>
    <definedName name="_54__123Graph_XCHART_5" localSheetId="49" hidden="1">#REF!</definedName>
    <definedName name="_54__123Graph_XCHART_5" localSheetId="50" hidden="1">#REF!</definedName>
    <definedName name="_54__123Graph_XCHART_5" localSheetId="51" hidden="1">#REF!</definedName>
    <definedName name="_54__123Graph_XCHART_5" localSheetId="52" hidden="1">#REF!</definedName>
    <definedName name="_54__123Graph_XCHART_5" localSheetId="10" hidden="1">#REF!</definedName>
    <definedName name="_54__123Graph_XCHART_5" localSheetId="27" hidden="1">#REF!</definedName>
    <definedName name="_54__123Graph_XCHART_5" localSheetId="28" hidden="1">#REF!</definedName>
    <definedName name="_54__123Graph_XCHART_5" localSheetId="8" hidden="1">#REF!</definedName>
    <definedName name="_54__123Graph_XCHART_5" localSheetId="32" hidden="1">#REF!</definedName>
    <definedName name="_54__123Graph_XCHART_5" localSheetId="11" hidden="1">#REF!</definedName>
    <definedName name="_54__123Graph_XCHART_5" localSheetId="35" hidden="1">#REF!</definedName>
    <definedName name="_54__123Graph_XCHART_5" localSheetId="7" hidden="1">#REF!</definedName>
    <definedName name="_54__123Graph_XCHART_5" localSheetId="25" hidden="1">#REF!</definedName>
    <definedName name="_54__123Graph_XCHART_5" localSheetId="26" hidden="1">#REF!</definedName>
    <definedName name="_54__123Graph_XCHART_5" localSheetId="23" hidden="1">#REF!</definedName>
    <definedName name="_54__123Graph_XCHART_5" localSheetId="22" hidden="1">#REF!</definedName>
    <definedName name="_54__123Graph_XCHART_5" localSheetId="31" hidden="1">#REF!</definedName>
    <definedName name="_54__123Graph_XCHART_5" localSheetId="18" hidden="1">#REF!</definedName>
    <definedName name="_54__123Graph_XCHART_5" localSheetId="54" hidden="1">#REF!</definedName>
    <definedName name="_54__123Graph_XCHART_5" localSheetId="30" hidden="1">#REF!</definedName>
    <definedName name="_54__123Graph_XCHART_5" localSheetId="14" hidden="1">#REF!</definedName>
    <definedName name="_54__123Graph_XCHART_5" localSheetId="38" hidden="1">#REF!</definedName>
    <definedName name="_54__123Graph_XCHART_5" localSheetId="39" hidden="1">#REF!</definedName>
    <definedName name="_54__123Graph_XCHART_5" localSheetId="2" hidden="1">#REF!</definedName>
    <definedName name="_54__123Graph_XCHART_5" localSheetId="58" hidden="1">#REF!</definedName>
    <definedName name="_54__123Graph_XCHART_5" localSheetId="56" hidden="1">#REF!</definedName>
    <definedName name="_54__123Graph_XCHART_5" localSheetId="19" hidden="1">#REF!</definedName>
    <definedName name="_54__123Graph_XCHART_5" localSheetId="9" hidden="1">#REF!</definedName>
    <definedName name="_54__123Graph_XCHART_5" localSheetId="6" hidden="1">#REF!</definedName>
    <definedName name="_54__123Graph_XCHART_5" localSheetId="17" hidden="1">#REF!</definedName>
    <definedName name="_54__123Graph_XCHART_5" hidden="1">#REF!</definedName>
    <definedName name="_55__123Graph_XCHART_6" localSheetId="15" hidden="1">#REF!</definedName>
    <definedName name="_55__123Graph_XCHART_6" localSheetId="41" hidden="1">#REF!</definedName>
    <definedName name="_55__123Graph_XCHART_6" localSheetId="42" hidden="1">#REF!</definedName>
    <definedName name="_55__123Graph_XCHART_6" localSheetId="43" hidden="1">#REF!</definedName>
    <definedName name="_55__123Graph_XCHART_6" localSheetId="16" hidden="1">#REF!</definedName>
    <definedName name="_55__123Graph_XCHART_6" localSheetId="45" hidden="1">#REF!</definedName>
    <definedName name="_55__123Graph_XCHART_6" localSheetId="46" hidden="1">#REF!</definedName>
    <definedName name="_55__123Graph_XCHART_6" localSheetId="47" hidden="1">#REF!</definedName>
    <definedName name="_55__123Graph_XCHART_6" localSheetId="48" hidden="1">#REF!</definedName>
    <definedName name="_55__123Graph_XCHART_6" localSheetId="49" hidden="1">#REF!</definedName>
    <definedName name="_55__123Graph_XCHART_6" localSheetId="50" hidden="1">#REF!</definedName>
    <definedName name="_55__123Graph_XCHART_6" localSheetId="51" hidden="1">#REF!</definedName>
    <definedName name="_55__123Graph_XCHART_6" localSheetId="52" hidden="1">#REF!</definedName>
    <definedName name="_55__123Graph_XCHART_6" localSheetId="10" hidden="1">#REF!</definedName>
    <definedName name="_55__123Graph_XCHART_6" localSheetId="27" hidden="1">#REF!</definedName>
    <definedName name="_55__123Graph_XCHART_6" localSheetId="28" hidden="1">#REF!</definedName>
    <definedName name="_55__123Graph_XCHART_6" localSheetId="8" hidden="1">#REF!</definedName>
    <definedName name="_55__123Graph_XCHART_6" localSheetId="32" hidden="1">#REF!</definedName>
    <definedName name="_55__123Graph_XCHART_6" localSheetId="11" hidden="1">#REF!</definedName>
    <definedName name="_55__123Graph_XCHART_6" localSheetId="35" hidden="1">#REF!</definedName>
    <definedName name="_55__123Graph_XCHART_6" localSheetId="7" hidden="1">#REF!</definedName>
    <definedName name="_55__123Graph_XCHART_6" localSheetId="25" hidden="1">#REF!</definedName>
    <definedName name="_55__123Graph_XCHART_6" localSheetId="26" hidden="1">#REF!</definedName>
    <definedName name="_55__123Graph_XCHART_6" localSheetId="23" hidden="1">#REF!</definedName>
    <definedName name="_55__123Graph_XCHART_6" localSheetId="22" hidden="1">#REF!</definedName>
    <definedName name="_55__123Graph_XCHART_6" localSheetId="31" hidden="1">#REF!</definedName>
    <definedName name="_55__123Graph_XCHART_6" localSheetId="18" hidden="1">#REF!</definedName>
    <definedName name="_55__123Graph_XCHART_6" localSheetId="54" hidden="1">#REF!</definedName>
    <definedName name="_55__123Graph_XCHART_6" localSheetId="30" hidden="1">#REF!</definedName>
    <definedName name="_55__123Graph_XCHART_6" localSheetId="14" hidden="1">#REF!</definedName>
    <definedName name="_55__123Graph_XCHART_6" localSheetId="38" hidden="1">#REF!</definedName>
    <definedName name="_55__123Graph_XCHART_6" localSheetId="39" hidden="1">#REF!</definedName>
    <definedName name="_55__123Graph_XCHART_6" localSheetId="2" hidden="1">#REF!</definedName>
    <definedName name="_55__123Graph_XCHART_6" localSheetId="58" hidden="1">#REF!</definedName>
    <definedName name="_55__123Graph_XCHART_6" localSheetId="56" hidden="1">#REF!</definedName>
    <definedName name="_55__123Graph_XCHART_6" localSheetId="19" hidden="1">#REF!</definedName>
    <definedName name="_55__123Graph_XCHART_6" localSheetId="9" hidden="1">#REF!</definedName>
    <definedName name="_55__123Graph_XCHART_6" localSheetId="6" hidden="1">#REF!</definedName>
    <definedName name="_55__123Graph_XCHART_6" localSheetId="17" hidden="1">#REF!</definedName>
    <definedName name="_55__123Graph_XCHART_6" hidden="1">#REF!</definedName>
    <definedName name="_56__123Graph_XCHART_7" localSheetId="15" hidden="1">#REF!</definedName>
    <definedName name="_56__123Graph_XCHART_7" localSheetId="41" hidden="1">#REF!</definedName>
    <definedName name="_56__123Graph_XCHART_7" localSheetId="42" hidden="1">#REF!</definedName>
    <definedName name="_56__123Graph_XCHART_7" localSheetId="43" hidden="1">#REF!</definedName>
    <definedName name="_56__123Graph_XCHART_7" localSheetId="16" hidden="1">#REF!</definedName>
    <definedName name="_56__123Graph_XCHART_7" localSheetId="45" hidden="1">#REF!</definedName>
    <definedName name="_56__123Graph_XCHART_7" localSheetId="46" hidden="1">#REF!</definedName>
    <definedName name="_56__123Graph_XCHART_7" localSheetId="47" hidden="1">#REF!</definedName>
    <definedName name="_56__123Graph_XCHART_7" localSheetId="48" hidden="1">#REF!</definedName>
    <definedName name="_56__123Graph_XCHART_7" localSheetId="49" hidden="1">#REF!</definedName>
    <definedName name="_56__123Graph_XCHART_7" localSheetId="50" hidden="1">#REF!</definedName>
    <definedName name="_56__123Graph_XCHART_7" localSheetId="51" hidden="1">#REF!</definedName>
    <definedName name="_56__123Graph_XCHART_7" localSheetId="52" hidden="1">#REF!</definedName>
    <definedName name="_56__123Graph_XCHART_7" localSheetId="10" hidden="1">#REF!</definedName>
    <definedName name="_56__123Graph_XCHART_7" localSheetId="27" hidden="1">#REF!</definedName>
    <definedName name="_56__123Graph_XCHART_7" localSheetId="28" hidden="1">#REF!</definedName>
    <definedName name="_56__123Graph_XCHART_7" localSheetId="8" hidden="1">#REF!</definedName>
    <definedName name="_56__123Graph_XCHART_7" localSheetId="32" hidden="1">#REF!</definedName>
    <definedName name="_56__123Graph_XCHART_7" localSheetId="11" hidden="1">#REF!</definedName>
    <definedName name="_56__123Graph_XCHART_7" localSheetId="35" hidden="1">#REF!</definedName>
    <definedName name="_56__123Graph_XCHART_7" localSheetId="7" hidden="1">#REF!</definedName>
    <definedName name="_56__123Graph_XCHART_7" localSheetId="25" hidden="1">#REF!</definedName>
    <definedName name="_56__123Graph_XCHART_7" localSheetId="26" hidden="1">#REF!</definedName>
    <definedName name="_56__123Graph_XCHART_7" localSheetId="23" hidden="1">#REF!</definedName>
    <definedName name="_56__123Graph_XCHART_7" localSheetId="22" hidden="1">#REF!</definedName>
    <definedName name="_56__123Graph_XCHART_7" localSheetId="31" hidden="1">#REF!</definedName>
    <definedName name="_56__123Graph_XCHART_7" localSheetId="18" hidden="1">#REF!</definedName>
    <definedName name="_56__123Graph_XCHART_7" localSheetId="54" hidden="1">#REF!</definedName>
    <definedName name="_56__123Graph_XCHART_7" localSheetId="30" hidden="1">#REF!</definedName>
    <definedName name="_56__123Graph_XCHART_7" localSheetId="14" hidden="1">#REF!</definedName>
    <definedName name="_56__123Graph_XCHART_7" localSheetId="38" hidden="1">#REF!</definedName>
    <definedName name="_56__123Graph_XCHART_7" localSheetId="39" hidden="1">#REF!</definedName>
    <definedName name="_56__123Graph_XCHART_7" localSheetId="2" hidden="1">#REF!</definedName>
    <definedName name="_56__123Graph_XCHART_7" localSheetId="58" hidden="1">#REF!</definedName>
    <definedName name="_56__123Graph_XCHART_7" localSheetId="56" hidden="1">#REF!</definedName>
    <definedName name="_56__123Graph_XCHART_7" localSheetId="19" hidden="1">#REF!</definedName>
    <definedName name="_56__123Graph_XCHART_7" localSheetId="9" hidden="1">#REF!</definedName>
    <definedName name="_56__123Graph_XCHART_7" localSheetId="6" hidden="1">#REF!</definedName>
    <definedName name="_56__123Graph_XCHART_7" localSheetId="17" hidden="1">#REF!</definedName>
    <definedName name="_56__123Graph_XCHART_7" hidden="1">#REF!</definedName>
    <definedName name="_57__123Graph_XCHART_8" localSheetId="15" hidden="1">#REF!</definedName>
    <definedName name="_57__123Graph_XCHART_8" localSheetId="41" hidden="1">#REF!</definedName>
    <definedName name="_57__123Graph_XCHART_8" localSheetId="42" hidden="1">#REF!</definedName>
    <definedName name="_57__123Graph_XCHART_8" localSheetId="43" hidden="1">#REF!</definedName>
    <definedName name="_57__123Graph_XCHART_8" localSheetId="16" hidden="1">#REF!</definedName>
    <definedName name="_57__123Graph_XCHART_8" localSheetId="45" hidden="1">#REF!</definedName>
    <definedName name="_57__123Graph_XCHART_8" localSheetId="46" hidden="1">#REF!</definedName>
    <definedName name="_57__123Graph_XCHART_8" localSheetId="47" hidden="1">#REF!</definedName>
    <definedName name="_57__123Graph_XCHART_8" localSheetId="48" hidden="1">#REF!</definedName>
    <definedName name="_57__123Graph_XCHART_8" localSheetId="49" hidden="1">#REF!</definedName>
    <definedName name="_57__123Graph_XCHART_8" localSheetId="50" hidden="1">#REF!</definedName>
    <definedName name="_57__123Graph_XCHART_8" localSheetId="51" hidden="1">#REF!</definedName>
    <definedName name="_57__123Graph_XCHART_8" localSheetId="52" hidden="1">#REF!</definedName>
    <definedName name="_57__123Graph_XCHART_8" localSheetId="10" hidden="1">#REF!</definedName>
    <definedName name="_57__123Graph_XCHART_8" localSheetId="27" hidden="1">#REF!</definedName>
    <definedName name="_57__123Graph_XCHART_8" localSheetId="28" hidden="1">#REF!</definedName>
    <definedName name="_57__123Graph_XCHART_8" localSheetId="8" hidden="1">#REF!</definedName>
    <definedName name="_57__123Graph_XCHART_8" localSheetId="32" hidden="1">#REF!</definedName>
    <definedName name="_57__123Graph_XCHART_8" localSheetId="11" hidden="1">#REF!</definedName>
    <definedName name="_57__123Graph_XCHART_8" localSheetId="35" hidden="1">#REF!</definedName>
    <definedName name="_57__123Graph_XCHART_8" localSheetId="7" hidden="1">#REF!</definedName>
    <definedName name="_57__123Graph_XCHART_8" localSheetId="25" hidden="1">#REF!</definedName>
    <definedName name="_57__123Graph_XCHART_8" localSheetId="26" hidden="1">#REF!</definedName>
    <definedName name="_57__123Graph_XCHART_8" localSheetId="23" hidden="1">#REF!</definedName>
    <definedName name="_57__123Graph_XCHART_8" localSheetId="22" hidden="1">#REF!</definedName>
    <definedName name="_57__123Graph_XCHART_8" localSheetId="31" hidden="1">#REF!</definedName>
    <definedName name="_57__123Graph_XCHART_8" localSheetId="18" hidden="1">#REF!</definedName>
    <definedName name="_57__123Graph_XCHART_8" localSheetId="54" hidden="1">#REF!</definedName>
    <definedName name="_57__123Graph_XCHART_8" localSheetId="30" hidden="1">#REF!</definedName>
    <definedName name="_57__123Graph_XCHART_8" localSheetId="14" hidden="1">#REF!</definedName>
    <definedName name="_57__123Graph_XCHART_8" localSheetId="38" hidden="1">#REF!</definedName>
    <definedName name="_57__123Graph_XCHART_8" localSheetId="39" hidden="1">#REF!</definedName>
    <definedName name="_57__123Graph_XCHART_8" localSheetId="2" hidden="1">#REF!</definedName>
    <definedName name="_57__123Graph_XCHART_8" localSheetId="58" hidden="1">#REF!</definedName>
    <definedName name="_57__123Graph_XCHART_8" localSheetId="56" hidden="1">#REF!</definedName>
    <definedName name="_57__123Graph_XCHART_8" localSheetId="19" hidden="1">#REF!</definedName>
    <definedName name="_57__123Graph_XCHART_8" localSheetId="9" hidden="1">#REF!</definedName>
    <definedName name="_57__123Graph_XCHART_8" localSheetId="6" hidden="1">#REF!</definedName>
    <definedName name="_57__123Graph_XCHART_8" localSheetId="17" hidden="1">#REF!</definedName>
    <definedName name="_57__123Graph_XCHART_8" hidden="1">#REF!</definedName>
    <definedName name="_6__123Graph_ACHART_19" localSheetId="15" hidden="1">#REF!</definedName>
    <definedName name="_6__123Graph_ACHART_19" localSheetId="41" hidden="1">#REF!</definedName>
    <definedName name="_6__123Graph_ACHART_19" localSheetId="42" hidden="1">#REF!</definedName>
    <definedName name="_6__123Graph_ACHART_19" localSheetId="43" hidden="1">#REF!</definedName>
    <definedName name="_6__123Graph_ACHART_19" localSheetId="16" hidden="1">#REF!</definedName>
    <definedName name="_6__123Graph_ACHART_19" localSheetId="45" hidden="1">#REF!</definedName>
    <definedName name="_6__123Graph_ACHART_19" localSheetId="46" hidden="1">#REF!</definedName>
    <definedName name="_6__123Graph_ACHART_19" localSheetId="47" hidden="1">#REF!</definedName>
    <definedName name="_6__123Graph_ACHART_19" localSheetId="48" hidden="1">#REF!</definedName>
    <definedName name="_6__123Graph_ACHART_19" localSheetId="49" hidden="1">#REF!</definedName>
    <definedName name="_6__123Graph_ACHART_19" localSheetId="50" hidden="1">#REF!</definedName>
    <definedName name="_6__123Graph_ACHART_19" localSheetId="51" hidden="1">#REF!</definedName>
    <definedName name="_6__123Graph_ACHART_19" localSheetId="52" hidden="1">#REF!</definedName>
    <definedName name="_6__123Graph_ACHART_19" localSheetId="10" hidden="1">#REF!</definedName>
    <definedName name="_6__123Graph_ACHART_19" localSheetId="27" hidden="1">#REF!</definedName>
    <definedName name="_6__123Graph_ACHART_19" localSheetId="28" hidden="1">#REF!</definedName>
    <definedName name="_6__123Graph_ACHART_19" localSheetId="8" hidden="1">#REF!</definedName>
    <definedName name="_6__123Graph_ACHART_19" localSheetId="32" hidden="1">#REF!</definedName>
    <definedName name="_6__123Graph_ACHART_19" localSheetId="11" hidden="1">#REF!</definedName>
    <definedName name="_6__123Graph_ACHART_19" localSheetId="35" hidden="1">#REF!</definedName>
    <definedName name="_6__123Graph_ACHART_19" localSheetId="7" hidden="1">#REF!</definedName>
    <definedName name="_6__123Graph_ACHART_19" localSheetId="25" hidden="1">#REF!</definedName>
    <definedName name="_6__123Graph_ACHART_19" localSheetId="26" hidden="1">#REF!</definedName>
    <definedName name="_6__123Graph_ACHART_19" localSheetId="23" hidden="1">#REF!</definedName>
    <definedName name="_6__123Graph_ACHART_19" localSheetId="22" hidden="1">#REF!</definedName>
    <definedName name="_6__123Graph_ACHART_19" localSheetId="31" hidden="1">#REF!</definedName>
    <definedName name="_6__123Graph_ACHART_19" localSheetId="18" hidden="1">#REF!</definedName>
    <definedName name="_6__123Graph_ACHART_19" localSheetId="54" hidden="1">#REF!</definedName>
    <definedName name="_6__123Graph_ACHART_19" localSheetId="30" hidden="1">#REF!</definedName>
    <definedName name="_6__123Graph_ACHART_19" localSheetId="14" hidden="1">#REF!</definedName>
    <definedName name="_6__123Graph_ACHART_19" localSheetId="38" hidden="1">#REF!</definedName>
    <definedName name="_6__123Graph_ACHART_19" localSheetId="39" hidden="1">#REF!</definedName>
    <definedName name="_6__123Graph_ACHART_19" localSheetId="2" hidden="1">#REF!</definedName>
    <definedName name="_6__123Graph_ACHART_19" localSheetId="58" hidden="1">#REF!</definedName>
    <definedName name="_6__123Graph_ACHART_19" localSheetId="56" hidden="1">#REF!</definedName>
    <definedName name="_6__123Graph_ACHART_19" localSheetId="19" hidden="1">#REF!</definedName>
    <definedName name="_6__123Graph_ACHART_19" localSheetId="9" hidden="1">#REF!</definedName>
    <definedName name="_6__123Graph_ACHART_19" localSheetId="6" hidden="1">#REF!</definedName>
    <definedName name="_6__123Graph_ACHART_19" localSheetId="17" hidden="1">#REF!</definedName>
    <definedName name="_6__123Graph_ACHART_19" hidden="1">#REF!</definedName>
    <definedName name="_7__123Graph_ACHART_2" localSheetId="15" hidden="1">#REF!</definedName>
    <definedName name="_7__123Graph_ACHART_2" localSheetId="41" hidden="1">#REF!</definedName>
    <definedName name="_7__123Graph_ACHART_2" localSheetId="42" hidden="1">#REF!</definedName>
    <definedName name="_7__123Graph_ACHART_2" localSheetId="43" hidden="1">#REF!</definedName>
    <definedName name="_7__123Graph_ACHART_2" localSheetId="16" hidden="1">#REF!</definedName>
    <definedName name="_7__123Graph_ACHART_2" localSheetId="45" hidden="1">#REF!</definedName>
    <definedName name="_7__123Graph_ACHART_2" localSheetId="46" hidden="1">#REF!</definedName>
    <definedName name="_7__123Graph_ACHART_2" localSheetId="47" hidden="1">#REF!</definedName>
    <definedName name="_7__123Graph_ACHART_2" localSheetId="48" hidden="1">#REF!</definedName>
    <definedName name="_7__123Graph_ACHART_2" localSheetId="49" hidden="1">#REF!</definedName>
    <definedName name="_7__123Graph_ACHART_2" localSheetId="50" hidden="1">#REF!</definedName>
    <definedName name="_7__123Graph_ACHART_2" localSheetId="51" hidden="1">#REF!</definedName>
    <definedName name="_7__123Graph_ACHART_2" localSheetId="52" hidden="1">#REF!</definedName>
    <definedName name="_7__123Graph_ACHART_2" localSheetId="10" hidden="1">#REF!</definedName>
    <definedName name="_7__123Graph_ACHART_2" localSheetId="27" hidden="1">#REF!</definedName>
    <definedName name="_7__123Graph_ACHART_2" localSheetId="28" hidden="1">#REF!</definedName>
    <definedName name="_7__123Graph_ACHART_2" localSheetId="8" hidden="1">#REF!</definedName>
    <definedName name="_7__123Graph_ACHART_2" localSheetId="32" hidden="1">#REF!</definedName>
    <definedName name="_7__123Graph_ACHART_2" localSheetId="11" hidden="1">#REF!</definedName>
    <definedName name="_7__123Graph_ACHART_2" localSheetId="35" hidden="1">#REF!</definedName>
    <definedName name="_7__123Graph_ACHART_2" localSheetId="7" hidden="1">#REF!</definedName>
    <definedName name="_7__123Graph_ACHART_2" localSheetId="25" hidden="1">#REF!</definedName>
    <definedName name="_7__123Graph_ACHART_2" localSheetId="26" hidden="1">#REF!</definedName>
    <definedName name="_7__123Graph_ACHART_2" localSheetId="23" hidden="1">#REF!</definedName>
    <definedName name="_7__123Graph_ACHART_2" localSheetId="22" hidden="1">#REF!</definedName>
    <definedName name="_7__123Graph_ACHART_2" localSheetId="31" hidden="1">#REF!</definedName>
    <definedName name="_7__123Graph_ACHART_2" localSheetId="18" hidden="1">#REF!</definedName>
    <definedName name="_7__123Graph_ACHART_2" localSheetId="54" hidden="1">#REF!</definedName>
    <definedName name="_7__123Graph_ACHART_2" localSheetId="30" hidden="1">#REF!</definedName>
    <definedName name="_7__123Graph_ACHART_2" localSheetId="14" hidden="1">#REF!</definedName>
    <definedName name="_7__123Graph_ACHART_2" localSheetId="38" hidden="1">#REF!</definedName>
    <definedName name="_7__123Graph_ACHART_2" localSheetId="39" hidden="1">#REF!</definedName>
    <definedName name="_7__123Graph_ACHART_2" localSheetId="2" hidden="1">#REF!</definedName>
    <definedName name="_7__123Graph_ACHART_2" localSheetId="58" hidden="1">#REF!</definedName>
    <definedName name="_7__123Graph_ACHART_2" localSheetId="56" hidden="1">#REF!</definedName>
    <definedName name="_7__123Graph_ACHART_2" localSheetId="19" hidden="1">#REF!</definedName>
    <definedName name="_7__123Graph_ACHART_2" localSheetId="9" hidden="1">#REF!</definedName>
    <definedName name="_7__123Graph_ACHART_2" localSheetId="6" hidden="1">#REF!</definedName>
    <definedName name="_7__123Graph_ACHART_2" localSheetId="17" hidden="1">#REF!</definedName>
    <definedName name="_7__123Graph_ACHART_2" hidden="1">#REF!</definedName>
    <definedName name="_8__123Graph_ACHART_20" localSheetId="15" hidden="1">#REF!</definedName>
    <definedName name="_8__123Graph_ACHART_20" localSheetId="41" hidden="1">#REF!</definedName>
    <definedName name="_8__123Graph_ACHART_20" localSheetId="42" hidden="1">#REF!</definedName>
    <definedName name="_8__123Graph_ACHART_20" localSheetId="43" hidden="1">#REF!</definedName>
    <definedName name="_8__123Graph_ACHART_20" localSheetId="16" hidden="1">#REF!</definedName>
    <definedName name="_8__123Graph_ACHART_20" localSheetId="45" hidden="1">#REF!</definedName>
    <definedName name="_8__123Graph_ACHART_20" localSheetId="46" hidden="1">#REF!</definedName>
    <definedName name="_8__123Graph_ACHART_20" localSheetId="47" hidden="1">#REF!</definedName>
    <definedName name="_8__123Graph_ACHART_20" localSheetId="48" hidden="1">#REF!</definedName>
    <definedName name="_8__123Graph_ACHART_20" localSheetId="49" hidden="1">#REF!</definedName>
    <definedName name="_8__123Graph_ACHART_20" localSheetId="50" hidden="1">#REF!</definedName>
    <definedName name="_8__123Graph_ACHART_20" localSheetId="51" hidden="1">#REF!</definedName>
    <definedName name="_8__123Graph_ACHART_20" localSheetId="52" hidden="1">#REF!</definedName>
    <definedName name="_8__123Graph_ACHART_20" localSheetId="10" hidden="1">#REF!</definedName>
    <definedName name="_8__123Graph_ACHART_20" localSheetId="27" hidden="1">#REF!</definedName>
    <definedName name="_8__123Graph_ACHART_20" localSheetId="28" hidden="1">#REF!</definedName>
    <definedName name="_8__123Graph_ACHART_20" localSheetId="8" hidden="1">#REF!</definedName>
    <definedName name="_8__123Graph_ACHART_20" localSheetId="32" hidden="1">#REF!</definedName>
    <definedName name="_8__123Graph_ACHART_20" localSheetId="11" hidden="1">#REF!</definedName>
    <definedName name="_8__123Graph_ACHART_20" localSheetId="35" hidden="1">#REF!</definedName>
    <definedName name="_8__123Graph_ACHART_20" localSheetId="7" hidden="1">#REF!</definedName>
    <definedName name="_8__123Graph_ACHART_20" localSheetId="25" hidden="1">#REF!</definedName>
    <definedName name="_8__123Graph_ACHART_20" localSheetId="26" hidden="1">#REF!</definedName>
    <definedName name="_8__123Graph_ACHART_20" localSheetId="23" hidden="1">#REF!</definedName>
    <definedName name="_8__123Graph_ACHART_20" localSheetId="22" hidden="1">#REF!</definedName>
    <definedName name="_8__123Graph_ACHART_20" localSheetId="31" hidden="1">#REF!</definedName>
    <definedName name="_8__123Graph_ACHART_20" localSheetId="18" hidden="1">#REF!</definedName>
    <definedName name="_8__123Graph_ACHART_20" localSheetId="54" hidden="1">#REF!</definedName>
    <definedName name="_8__123Graph_ACHART_20" localSheetId="30" hidden="1">#REF!</definedName>
    <definedName name="_8__123Graph_ACHART_20" localSheetId="14" hidden="1">#REF!</definedName>
    <definedName name="_8__123Graph_ACHART_20" localSheetId="38" hidden="1">#REF!</definedName>
    <definedName name="_8__123Graph_ACHART_20" localSheetId="39" hidden="1">#REF!</definedName>
    <definedName name="_8__123Graph_ACHART_20" localSheetId="2" hidden="1">#REF!</definedName>
    <definedName name="_8__123Graph_ACHART_20" localSheetId="58" hidden="1">#REF!</definedName>
    <definedName name="_8__123Graph_ACHART_20" localSheetId="56" hidden="1">#REF!</definedName>
    <definedName name="_8__123Graph_ACHART_20" localSheetId="19" hidden="1">#REF!</definedName>
    <definedName name="_8__123Graph_ACHART_20" localSheetId="9" hidden="1">#REF!</definedName>
    <definedName name="_8__123Graph_ACHART_20" localSheetId="6" hidden="1">#REF!</definedName>
    <definedName name="_8__123Graph_ACHART_20" localSheetId="17" hidden="1">#REF!</definedName>
    <definedName name="_8__123Graph_ACHART_20" hidden="1">#REF!</definedName>
    <definedName name="_9__123Graph_ACHART_22" localSheetId="15" hidden="1">#REF!</definedName>
    <definedName name="_9__123Graph_ACHART_22" localSheetId="41" hidden="1">#REF!</definedName>
    <definedName name="_9__123Graph_ACHART_22" localSheetId="42" hidden="1">#REF!</definedName>
    <definedName name="_9__123Graph_ACHART_22" localSheetId="43" hidden="1">#REF!</definedName>
    <definedName name="_9__123Graph_ACHART_22" localSheetId="16" hidden="1">#REF!</definedName>
    <definedName name="_9__123Graph_ACHART_22" localSheetId="45" hidden="1">#REF!</definedName>
    <definedName name="_9__123Graph_ACHART_22" localSheetId="46" hidden="1">#REF!</definedName>
    <definedName name="_9__123Graph_ACHART_22" localSheetId="47" hidden="1">#REF!</definedName>
    <definedName name="_9__123Graph_ACHART_22" localSheetId="48" hidden="1">#REF!</definedName>
    <definedName name="_9__123Graph_ACHART_22" localSheetId="49" hidden="1">#REF!</definedName>
    <definedName name="_9__123Graph_ACHART_22" localSheetId="50" hidden="1">#REF!</definedName>
    <definedName name="_9__123Graph_ACHART_22" localSheetId="51" hidden="1">#REF!</definedName>
    <definedName name="_9__123Graph_ACHART_22" localSheetId="52" hidden="1">#REF!</definedName>
    <definedName name="_9__123Graph_ACHART_22" localSheetId="10" hidden="1">#REF!</definedName>
    <definedName name="_9__123Graph_ACHART_22" localSheetId="27" hidden="1">#REF!</definedName>
    <definedName name="_9__123Graph_ACHART_22" localSheetId="28" hidden="1">#REF!</definedName>
    <definedName name="_9__123Graph_ACHART_22" localSheetId="8" hidden="1">#REF!</definedName>
    <definedName name="_9__123Graph_ACHART_22" localSheetId="32" hidden="1">#REF!</definedName>
    <definedName name="_9__123Graph_ACHART_22" localSheetId="11" hidden="1">#REF!</definedName>
    <definedName name="_9__123Graph_ACHART_22" localSheetId="35" hidden="1">#REF!</definedName>
    <definedName name="_9__123Graph_ACHART_22" localSheetId="7" hidden="1">#REF!</definedName>
    <definedName name="_9__123Graph_ACHART_22" localSheetId="25" hidden="1">#REF!</definedName>
    <definedName name="_9__123Graph_ACHART_22" localSheetId="26" hidden="1">#REF!</definedName>
    <definedName name="_9__123Graph_ACHART_22" localSheetId="23" hidden="1">#REF!</definedName>
    <definedName name="_9__123Graph_ACHART_22" localSheetId="22" hidden="1">#REF!</definedName>
    <definedName name="_9__123Graph_ACHART_22" localSheetId="31" hidden="1">#REF!</definedName>
    <definedName name="_9__123Graph_ACHART_22" localSheetId="18" hidden="1">#REF!</definedName>
    <definedName name="_9__123Graph_ACHART_22" localSheetId="54" hidden="1">#REF!</definedName>
    <definedName name="_9__123Graph_ACHART_22" localSheetId="30" hidden="1">#REF!</definedName>
    <definedName name="_9__123Graph_ACHART_22" localSheetId="14" hidden="1">#REF!</definedName>
    <definedName name="_9__123Graph_ACHART_22" localSheetId="38" hidden="1">#REF!</definedName>
    <definedName name="_9__123Graph_ACHART_22" localSheetId="39" hidden="1">#REF!</definedName>
    <definedName name="_9__123Graph_ACHART_22" localSheetId="2" hidden="1">#REF!</definedName>
    <definedName name="_9__123Graph_ACHART_22" localSheetId="58" hidden="1">#REF!</definedName>
    <definedName name="_9__123Graph_ACHART_22" localSheetId="56" hidden="1">#REF!</definedName>
    <definedName name="_9__123Graph_ACHART_22" localSheetId="19" hidden="1">#REF!</definedName>
    <definedName name="_9__123Graph_ACHART_22" localSheetId="9" hidden="1">#REF!</definedName>
    <definedName name="_9__123Graph_ACHART_22" localSheetId="6" hidden="1">#REF!</definedName>
    <definedName name="_9__123Graph_ACHART_22" localSheetId="17" hidden="1">#REF!</definedName>
    <definedName name="_9__123Graph_ACHART_22" hidden="1">#REF!</definedName>
    <definedName name="_Fill" localSheetId="15" hidden="1">#REF!</definedName>
    <definedName name="_Fill" localSheetId="41" hidden="1">#REF!</definedName>
    <definedName name="_Fill" localSheetId="42" hidden="1">#REF!</definedName>
    <definedName name="_Fill" localSheetId="43" hidden="1">#REF!</definedName>
    <definedName name="_Fill" localSheetId="16" hidden="1">#REF!</definedName>
    <definedName name="_Fill" localSheetId="45" hidden="1">#REF!</definedName>
    <definedName name="_Fill" localSheetId="46" hidden="1">#REF!</definedName>
    <definedName name="_Fill" localSheetId="47" hidden="1">#REF!</definedName>
    <definedName name="_Fill" localSheetId="48" hidden="1">#REF!</definedName>
    <definedName name="_Fill" localSheetId="49" hidden="1">#REF!</definedName>
    <definedName name="_Fill" localSheetId="50" hidden="1">#REF!</definedName>
    <definedName name="_Fill" localSheetId="51" hidden="1">#REF!</definedName>
    <definedName name="_Fill" localSheetId="52" hidden="1">#REF!</definedName>
    <definedName name="_Fill" localSheetId="10" hidden="1">#REF!</definedName>
    <definedName name="_Fill" localSheetId="27" hidden="1">#REF!</definedName>
    <definedName name="_Fill" localSheetId="28" hidden="1">#REF!</definedName>
    <definedName name="_Fill" localSheetId="8" hidden="1">#REF!</definedName>
    <definedName name="_Fill" localSheetId="32" hidden="1">#REF!</definedName>
    <definedName name="_Fill" localSheetId="11" hidden="1">#REF!</definedName>
    <definedName name="_Fill" localSheetId="35" hidden="1">#REF!</definedName>
    <definedName name="_Fill" localSheetId="7" hidden="1">#REF!</definedName>
    <definedName name="_Fill" localSheetId="25" hidden="1">#REF!</definedName>
    <definedName name="_Fill" localSheetId="26" hidden="1">#REF!</definedName>
    <definedName name="_Fill" localSheetId="23" hidden="1">#REF!</definedName>
    <definedName name="_Fill" localSheetId="22" hidden="1">#REF!</definedName>
    <definedName name="_Fill" localSheetId="31" hidden="1">#REF!</definedName>
    <definedName name="_Fill" localSheetId="18" hidden="1">#REF!</definedName>
    <definedName name="_Fill" localSheetId="54" hidden="1">#REF!</definedName>
    <definedName name="_Fill" localSheetId="30" hidden="1">#REF!</definedName>
    <definedName name="_Fill" localSheetId="14" hidden="1">#REF!</definedName>
    <definedName name="_Fill" localSheetId="38" hidden="1">#REF!</definedName>
    <definedName name="_Fill" localSheetId="39" hidden="1">#REF!</definedName>
    <definedName name="_Fill" localSheetId="2" hidden="1">#REF!</definedName>
    <definedName name="_Fill" localSheetId="58" hidden="1">#REF!</definedName>
    <definedName name="_Fill" localSheetId="56" hidden="1">#REF!</definedName>
    <definedName name="_Fill" localSheetId="19" hidden="1">#REF!</definedName>
    <definedName name="_Fill" localSheetId="9" hidden="1">#REF!</definedName>
    <definedName name="_Fill" localSheetId="6" hidden="1">#REF!</definedName>
    <definedName name="_Fill" localSheetId="17" hidden="1">#REF!</definedName>
    <definedName name="_Fill" hidden="1">#REF!</definedName>
    <definedName name="_xlnm._FilterDatabase" localSheetId="15" hidden="1">#REF!</definedName>
    <definedName name="_xlnm._FilterDatabase" localSheetId="41" hidden="1">#REF!</definedName>
    <definedName name="_xlnm._FilterDatabase" localSheetId="42" hidden="1">#REF!</definedName>
    <definedName name="_xlnm._FilterDatabase" localSheetId="43" hidden="1">#REF!</definedName>
    <definedName name="_xlnm._FilterDatabase" localSheetId="16" hidden="1">#REF!</definedName>
    <definedName name="_xlnm._FilterDatabase" localSheetId="45" hidden="1">#REF!</definedName>
    <definedName name="_xlnm._FilterDatabase" localSheetId="46" hidden="1">#REF!</definedName>
    <definedName name="_xlnm._FilterDatabase" localSheetId="47" hidden="1">#REF!</definedName>
    <definedName name="_xlnm._FilterDatabase" localSheetId="48" hidden="1">#REF!</definedName>
    <definedName name="_xlnm._FilterDatabase" localSheetId="49" hidden="1">#REF!</definedName>
    <definedName name="_xlnm._FilterDatabase" localSheetId="50" hidden="1">#REF!</definedName>
    <definedName name="_xlnm._FilterDatabase" localSheetId="51" hidden="1">#REF!</definedName>
    <definedName name="_xlnm._FilterDatabase" localSheetId="52" hidden="1">#REF!</definedName>
    <definedName name="_xlnm._FilterDatabase" localSheetId="10" hidden="1">#REF!</definedName>
    <definedName name="_xlnm._FilterDatabase" localSheetId="27" hidden="1">#REF!</definedName>
    <definedName name="_xlnm._FilterDatabase" localSheetId="28" hidden="1">#REF!</definedName>
    <definedName name="_xlnm._FilterDatabase" localSheetId="8" hidden="1">#REF!</definedName>
    <definedName name="_xlnm._FilterDatabase" localSheetId="32" hidden="1">#REF!</definedName>
    <definedName name="_xlnm._FilterDatabase" localSheetId="11" hidden="1">#REF!</definedName>
    <definedName name="_xlnm._FilterDatabase" localSheetId="35" hidden="1">#REF!</definedName>
    <definedName name="_xlnm._FilterDatabase" localSheetId="7" hidden="1">#REF!</definedName>
    <definedName name="_xlnm._FilterDatabase" localSheetId="25" hidden="1">#REF!</definedName>
    <definedName name="_xlnm._FilterDatabase" localSheetId="26" hidden="1">#REF!</definedName>
    <definedName name="_xlnm._FilterDatabase" localSheetId="23" hidden="1">#REF!</definedName>
    <definedName name="_xlnm._FilterDatabase" localSheetId="22" hidden="1">#REF!</definedName>
    <definedName name="_xlnm._FilterDatabase" localSheetId="0" hidden="1">names!$A$1:$C$2290</definedName>
    <definedName name="_xlnm._FilterDatabase" localSheetId="31" hidden="1">#REF!</definedName>
    <definedName name="_xlnm._FilterDatabase" localSheetId="18" hidden="1">#REF!</definedName>
    <definedName name="_xlnm._FilterDatabase" localSheetId="54" hidden="1">#REF!</definedName>
    <definedName name="_xlnm._FilterDatabase" localSheetId="30" hidden="1">#REF!</definedName>
    <definedName name="_xlnm._FilterDatabase" localSheetId="14" hidden="1">#REF!</definedName>
    <definedName name="_xlnm._FilterDatabase" localSheetId="38" hidden="1">#REF!</definedName>
    <definedName name="_xlnm._FilterDatabase" localSheetId="39" hidden="1">#REF!</definedName>
    <definedName name="_xlnm._FilterDatabase" localSheetId="2" hidden="1">#REF!</definedName>
    <definedName name="_xlnm._FilterDatabase" localSheetId="58" hidden="1">#REF!</definedName>
    <definedName name="_xlnm._FilterDatabase" localSheetId="56" hidden="1">#REF!</definedName>
    <definedName name="_xlnm._FilterDatabase" localSheetId="19" hidden="1">#REF!</definedName>
    <definedName name="_xlnm._FilterDatabase" localSheetId="9" hidden="1">#REF!</definedName>
    <definedName name="_xlnm._FilterDatabase" localSheetId="6" hidden="1">#REF!</definedName>
    <definedName name="_xlnm._FilterDatabase" localSheetId="17" hidden="1">#REF!</definedName>
    <definedName name="_xlnm._FilterDatabase" hidden="1">#REF!</definedName>
    <definedName name="_Order1" hidden="1">0</definedName>
    <definedName name="_Order2" hidden="1">255</definedName>
    <definedName name="a" localSheetId="36" hidden="1">{#N/A,#N/A,TRUE,"Nagłówek"}</definedName>
    <definedName name="a" localSheetId="24" hidden="1">{#N/A,#N/A,TRUE,"Nagłówek"}</definedName>
    <definedName name="a" localSheetId="18" hidden="1">{#N/A,#N/A,TRUE,"Nagłówek"}</definedName>
    <definedName name="a" localSheetId="54" hidden="1">{#N/A,#N/A,TRUE,"Nagłówek"}</definedName>
    <definedName name="a" localSheetId="19" hidden="1">{#N/A,#N/A,TRUE,"Nagłówek"}</definedName>
    <definedName name="a" hidden="1">{#N/A,#N/A,TRUE,"Nagłówek"}</definedName>
    <definedName name="aaaa" localSheetId="15" hidden="1">{#N/A,#N/A,TRUE,"Nagłówek"}</definedName>
    <definedName name="aaaa" localSheetId="40" hidden="1">{#N/A,#N/A,TRUE,"Nagłówek"}</definedName>
    <definedName name="aaaa" localSheetId="41" hidden="1">{#N/A,#N/A,TRUE,"Nagłówek"}</definedName>
    <definedName name="aaaa" localSheetId="42" hidden="1">{#N/A,#N/A,TRUE,"Nagłówek"}</definedName>
    <definedName name="aaaa" localSheetId="43" hidden="1">{#N/A,#N/A,TRUE,"Nagłówek"}</definedName>
    <definedName name="aaaa" localSheetId="16" hidden="1">{#N/A,#N/A,TRUE,"Nagłówek"}</definedName>
    <definedName name="aaaa" localSheetId="44" hidden="1">{#N/A,#N/A,TRUE,"Nagłówek"}</definedName>
    <definedName name="aaaa" localSheetId="45" hidden="1">{#N/A,#N/A,TRUE,"Nagłówek"}</definedName>
    <definedName name="aaaa" localSheetId="46" hidden="1">{#N/A,#N/A,TRUE,"Nagłówek"}</definedName>
    <definedName name="aaaa" localSheetId="47" hidden="1">{#N/A,#N/A,TRUE,"Nagłówek"}</definedName>
    <definedName name="aaaa" localSheetId="48" hidden="1">{#N/A,#N/A,TRUE,"Nagłówek"}</definedName>
    <definedName name="aaaa" localSheetId="49" hidden="1">{#N/A,#N/A,TRUE,"Nagłówek"}</definedName>
    <definedName name="aaaa" localSheetId="50" hidden="1">{#N/A,#N/A,TRUE,"Nagłówek"}</definedName>
    <definedName name="aaaa" localSheetId="51" hidden="1">{#N/A,#N/A,TRUE,"Nagłówek"}</definedName>
    <definedName name="aaaa" localSheetId="52" hidden="1">{#N/A,#N/A,TRUE,"Nagłówek"}</definedName>
    <definedName name="aaaa" localSheetId="12" hidden="1">{#N/A,#N/A,TRUE,"Nagłówek"}</definedName>
    <definedName name="aaaa" localSheetId="13" hidden="1">{#N/A,#N/A,TRUE,"Nagłówek"}</definedName>
    <definedName name="aaaa" localSheetId="33" hidden="1">{#N/A,#N/A,TRUE,"Nagłówek"}</definedName>
    <definedName name="aaaa" localSheetId="10" hidden="1">{#N/A,#N/A,TRUE,"Nagłówek"}</definedName>
    <definedName name="aaaa" localSheetId="29" hidden="1">{#N/A,#N/A,TRUE,"Nagłówek"}</definedName>
    <definedName name="aaaa" localSheetId="32" hidden="1">{#N/A,#N/A,TRUE,"Nagłówek"}</definedName>
    <definedName name="aaaa" localSheetId="11" hidden="1">{#N/A,#N/A,TRUE,"Nagłówek"}</definedName>
    <definedName name="aaaa" localSheetId="36" hidden="1">{#N/A,#N/A,TRUE,"Nagłówek"}</definedName>
    <definedName name="aaaa" localSheetId="35" hidden="1">{#N/A,#N/A,TRUE,"Nagłówek"}</definedName>
    <definedName name="aaaa" localSheetId="7" hidden="1">{#N/A,#N/A,TRUE,"Nagłówek"}</definedName>
    <definedName name="aaaa" localSheetId="25" hidden="1">{#N/A,#N/A,TRUE,"Nagłówek"}</definedName>
    <definedName name="aaaa" localSheetId="26" hidden="1">{#N/A,#N/A,TRUE,"Nagłówek"}</definedName>
    <definedName name="aaaa" localSheetId="24" hidden="1">{#N/A,#N/A,TRUE,"Nagłówek"}</definedName>
    <definedName name="aaaa" localSheetId="31" hidden="1">{#N/A,#N/A,TRUE,"Nagłówek"}</definedName>
    <definedName name="aaaa" localSheetId="18" hidden="1">{#N/A,#N/A,TRUE,"Nagłówek"}</definedName>
    <definedName name="aaaa" localSheetId="54" hidden="1">{#N/A,#N/A,TRUE,"Nagłówek"}</definedName>
    <definedName name="aaaa" localSheetId="30" hidden="1">{#N/A,#N/A,TRUE,"Nagłówek"}</definedName>
    <definedName name="aaaa" localSheetId="14" hidden="1">{#N/A,#N/A,TRUE,"Nagłówek"}</definedName>
    <definedName name="aaaa" localSheetId="37" hidden="1">{#N/A,#N/A,TRUE,"Nagłówek"}</definedName>
    <definedName name="aaaa" localSheetId="38" hidden="1">{#N/A,#N/A,TRUE,"Nagłówek"}</definedName>
    <definedName name="aaaa" localSheetId="39" hidden="1">{#N/A,#N/A,TRUE,"Nagłówek"}</definedName>
    <definedName name="aaaa" localSheetId="19" hidden="1">{#N/A,#N/A,TRUE,"Nagłówek"}</definedName>
    <definedName name="aaaa" localSheetId="9" hidden="1">{#N/A,#N/A,TRUE,"Nagłówek"}</definedName>
    <definedName name="aaaa" localSheetId="34" hidden="1">{#N/A,#N/A,TRUE,"Nagłówek"}</definedName>
    <definedName name="aaaa" hidden="1">{#N/A,#N/A,TRUE,"Nagłówek"}</definedName>
    <definedName name="aakorekty" localSheetId="43">#REF!</definedName>
    <definedName name="aakorekty" localSheetId="52">#REF!</definedName>
    <definedName name="aakorekty" localSheetId="28">#REF!</definedName>
    <definedName name="aakorekty" localSheetId="36">#REF!</definedName>
    <definedName name="aakorekty" localSheetId="7">#REF!</definedName>
    <definedName name="aakorekty" localSheetId="26">#REF!</definedName>
    <definedName name="aakorekty" localSheetId="23">#REF!</definedName>
    <definedName name="aakorekty" localSheetId="22">#REF!</definedName>
    <definedName name="aakorekty" localSheetId="39">#REF!</definedName>
    <definedName name="aakorekty" localSheetId="56">#REF!</definedName>
    <definedName name="aakorekty" localSheetId="19">#REF!</definedName>
    <definedName name="aakorekty">#REF!</definedName>
    <definedName name="B" localSheetId="36" hidden="1">{#N/A,#N/A,TRUE,"Nagłówek"}</definedName>
    <definedName name="B" localSheetId="24" hidden="1">{#N/A,#N/A,TRUE,"Nagłówek"}</definedName>
    <definedName name="B" localSheetId="18" hidden="1">{#N/A,#N/A,TRUE,"Nagłówek"}</definedName>
    <definedName name="B" localSheetId="54" hidden="1">{#N/A,#N/A,TRUE,"Nagłówek"}</definedName>
    <definedName name="B" localSheetId="19" hidden="1">{#N/A,#N/A,TRUE,"Nagłówek"}</definedName>
    <definedName name="B" hidden="1">{#N/A,#N/A,TRUE,"Nagłówek"}</definedName>
    <definedName name="badanyrok">[2]ster!$B$4</definedName>
    <definedName name="bialystok" localSheetId="43">#REF!</definedName>
    <definedName name="bialystok" localSheetId="52">#REF!</definedName>
    <definedName name="bialystok" localSheetId="28">#REF!</definedName>
    <definedName name="bialystok" localSheetId="36">#REF!</definedName>
    <definedName name="bialystok" localSheetId="7">#REF!</definedName>
    <definedName name="bialystok" localSheetId="26">#REF!</definedName>
    <definedName name="bialystok" localSheetId="23">#REF!</definedName>
    <definedName name="bialystok" localSheetId="22">#REF!</definedName>
    <definedName name="bialystok" localSheetId="39">#REF!</definedName>
    <definedName name="bialystok" localSheetId="56">#REF!</definedName>
    <definedName name="bialystok" localSheetId="19">#REF!</definedName>
    <definedName name="bialystok">#REF!</definedName>
    <definedName name="bs_date">[3]ster!$B$4</definedName>
    <definedName name="bs_date1" localSheetId="43">#REF!</definedName>
    <definedName name="bs_date1" localSheetId="52">#REF!</definedName>
    <definedName name="bs_date1" localSheetId="28">#REF!</definedName>
    <definedName name="bs_date1" localSheetId="36">#REF!</definedName>
    <definedName name="bs_date1" localSheetId="7">#REF!</definedName>
    <definedName name="bs_date1" localSheetId="26">#REF!</definedName>
    <definedName name="bs_date1" localSheetId="23">#REF!</definedName>
    <definedName name="bs_date1" localSheetId="22">#REF!</definedName>
    <definedName name="bs_date1" localSheetId="39">#REF!</definedName>
    <definedName name="bs_date1" localSheetId="56">#REF!</definedName>
    <definedName name="bs_date1" localSheetId="19">#REF!</definedName>
    <definedName name="bs_date1">#REF!</definedName>
    <definedName name="Cost_of_Sales">'[4]#REF'!$CD$5:$CJ$20</definedName>
    <definedName name="data" localSheetId="43">#REF!</definedName>
    <definedName name="data" localSheetId="52">#REF!</definedName>
    <definedName name="data" localSheetId="28">#REF!</definedName>
    <definedName name="data" localSheetId="36">#REF!</definedName>
    <definedName name="data" localSheetId="7">#REF!</definedName>
    <definedName name="data" localSheetId="26">#REF!</definedName>
    <definedName name="data" localSheetId="23">#REF!</definedName>
    <definedName name="data" localSheetId="22">#REF!</definedName>
    <definedName name="data" localSheetId="39">#REF!</definedName>
    <definedName name="data" localSheetId="56">#REF!</definedName>
    <definedName name="data" localSheetId="19">#REF!</definedName>
    <definedName name="data">#REF!</definedName>
    <definedName name="df_obj" localSheetId="15">OFFSET(#REF!,0,0,COUNT(#REF!),2)</definedName>
    <definedName name="df_obj" localSheetId="41">OFFSET(#REF!,0,0,COUNT(#REF!),2)</definedName>
    <definedName name="df_obj" localSheetId="42">OFFSET(#REF!,0,0,COUNT(#REF!),2)</definedName>
    <definedName name="df_obj" localSheetId="43">OFFSET(#REF!,0,0,COUNT(#REF!),2)</definedName>
    <definedName name="df_obj" localSheetId="16">OFFSET(#REF!,0,0,COUNT(#REF!),2)</definedName>
    <definedName name="df_obj" localSheetId="45">OFFSET(#REF!,0,0,COUNT(#REF!),2)</definedName>
    <definedName name="df_obj" localSheetId="46">OFFSET(#REF!,0,0,COUNT(#REF!),2)</definedName>
    <definedName name="df_obj" localSheetId="47">OFFSET(#REF!,0,0,COUNT(#REF!),2)</definedName>
    <definedName name="df_obj" localSheetId="48">OFFSET(#REF!,0,0,COUNT(#REF!),2)</definedName>
    <definedName name="df_obj" localSheetId="49">OFFSET(#REF!,0,0,COUNT(#REF!),2)</definedName>
    <definedName name="df_obj" localSheetId="50">OFFSET(#REF!,0,0,COUNT(#REF!),2)</definedName>
    <definedName name="df_obj" localSheetId="51">OFFSET(#REF!,0,0,COUNT(#REF!),2)</definedName>
    <definedName name="df_obj" localSheetId="52">OFFSET(#REF!,0,0,COUNT(#REF!),2)</definedName>
    <definedName name="df_obj" localSheetId="10">OFFSET(#REF!,0,0,COUNT(#REF!),2)</definedName>
    <definedName name="df_obj" localSheetId="27">OFFSET(#REF!,0,0,COUNT(#REF!),2)</definedName>
    <definedName name="df_obj" localSheetId="28">OFFSET(#REF!,0,0,COUNT(#REF!),2)</definedName>
    <definedName name="df_obj" localSheetId="8">OFFSET(#REF!,0,0,COUNT(#REF!),2)</definedName>
    <definedName name="df_obj" localSheetId="32">OFFSET(#REF!,0,0,COUNT(#REF!),2)</definedName>
    <definedName name="df_obj" localSheetId="11">OFFSET(#REF!,0,0,COUNT(#REF!),2)</definedName>
    <definedName name="df_obj" localSheetId="35">OFFSET(#REF!,0,0,COUNT(#REF!),2)</definedName>
    <definedName name="df_obj" localSheetId="7">OFFSET(#REF!,0,0,COUNT(#REF!),2)</definedName>
    <definedName name="df_obj" localSheetId="26">OFFSET(#REF!,0,0,COUNT(#REF!),2)</definedName>
    <definedName name="df_obj" localSheetId="23">OFFSET(#REF!,0,0,COUNT(#REF!),2)</definedName>
    <definedName name="df_obj" localSheetId="22">OFFSET(#REF!,0,0,COUNT(#REF!),2)</definedName>
    <definedName name="df_obj" localSheetId="31">OFFSET(#REF!,0,0,COUNT(#REF!),2)</definedName>
    <definedName name="df_obj" localSheetId="18">OFFSET(#REF!,0,0,COUNT(#REF!),2)</definedName>
    <definedName name="df_obj" localSheetId="54">OFFSET(#REF!,0,0,COUNT(#REF!),2)</definedName>
    <definedName name="df_obj" localSheetId="30">OFFSET(#REF!,0,0,COUNT(#REF!),2)</definedName>
    <definedName name="df_obj" localSheetId="14">OFFSET(#REF!,0,0,COUNT(#REF!),2)</definedName>
    <definedName name="df_obj" localSheetId="38">OFFSET(#REF!,0,0,COUNT(#REF!),2)</definedName>
    <definedName name="df_obj" localSheetId="39">OFFSET(#REF!,0,0,COUNT(#REF!),2)</definedName>
    <definedName name="df_obj" localSheetId="2">OFFSET(#REF!,0,0,COUNT(#REF!),2)</definedName>
    <definedName name="df_obj" localSheetId="58">OFFSET(#REF!,0,0,COUNT(#REF!),2)</definedName>
    <definedName name="df_obj" localSheetId="56">OFFSET(#REF!,0,0,COUNT(#REF!),2)</definedName>
    <definedName name="df_obj" localSheetId="19">OFFSET(#REF!,0,0,COUNT(#REF!),2)</definedName>
    <definedName name="df_obj" localSheetId="9">OFFSET(#REF!,0,0,COUNT(#REF!),2)</definedName>
    <definedName name="df_obj" localSheetId="6">OFFSET(#REF!,0,0,COUNT(#REF!),2)</definedName>
    <definedName name="df_obj" localSheetId="17">OFFSET(#REF!,0,0,COUNT(#REF!),2)</definedName>
    <definedName name="df_obj">OFFSET(#REF!,0,0,COUNT(#REF!),2)</definedName>
    <definedName name="df_obj2" localSheetId="15">OFFSET(#REF!,0,0,COUNT(#REF!),2)</definedName>
    <definedName name="df_obj2" localSheetId="41">OFFSET(#REF!,0,0,COUNT(#REF!),2)</definedName>
    <definedName name="df_obj2" localSheetId="42">OFFSET(#REF!,0,0,COUNT(#REF!),2)</definedName>
    <definedName name="df_obj2" localSheetId="43">OFFSET(#REF!,0,0,COUNT(#REF!),2)</definedName>
    <definedName name="df_obj2" localSheetId="16">OFFSET(#REF!,0,0,COUNT(#REF!),2)</definedName>
    <definedName name="df_obj2" localSheetId="45">OFFSET(#REF!,0,0,COUNT(#REF!),2)</definedName>
    <definedName name="df_obj2" localSheetId="46">OFFSET(#REF!,0,0,COUNT(#REF!),2)</definedName>
    <definedName name="df_obj2" localSheetId="47">OFFSET(#REF!,0,0,COUNT(#REF!),2)</definedName>
    <definedName name="df_obj2" localSheetId="48">OFFSET(#REF!,0,0,COUNT(#REF!),2)</definedName>
    <definedName name="df_obj2" localSheetId="49">OFFSET(#REF!,0,0,COUNT(#REF!),2)</definedName>
    <definedName name="df_obj2" localSheetId="50">OFFSET(#REF!,0,0,COUNT(#REF!),2)</definedName>
    <definedName name="df_obj2" localSheetId="51">OFFSET(#REF!,0,0,COUNT(#REF!),2)</definedName>
    <definedName name="df_obj2" localSheetId="52">OFFSET(#REF!,0,0,COUNT(#REF!),2)</definedName>
    <definedName name="df_obj2" localSheetId="10">OFFSET(#REF!,0,0,COUNT(#REF!),2)</definedName>
    <definedName name="df_obj2" localSheetId="27">OFFSET(#REF!,0,0,COUNT(#REF!),2)</definedName>
    <definedName name="df_obj2" localSheetId="28">OFFSET(#REF!,0,0,COUNT(#REF!),2)</definedName>
    <definedName name="df_obj2" localSheetId="8">OFFSET(#REF!,0,0,COUNT(#REF!),2)</definedName>
    <definedName name="df_obj2" localSheetId="32">OFFSET(#REF!,0,0,COUNT(#REF!),2)</definedName>
    <definedName name="df_obj2" localSheetId="11">OFFSET(#REF!,0,0,COUNT(#REF!),2)</definedName>
    <definedName name="df_obj2" localSheetId="35">OFFSET(#REF!,0,0,COUNT(#REF!),2)</definedName>
    <definedName name="df_obj2" localSheetId="7">OFFSET(#REF!,0,0,COUNT(#REF!),2)</definedName>
    <definedName name="df_obj2" localSheetId="26">OFFSET(#REF!,0,0,COUNT(#REF!),2)</definedName>
    <definedName name="df_obj2" localSheetId="23">OFFSET(#REF!,0,0,COUNT(#REF!),2)</definedName>
    <definedName name="df_obj2" localSheetId="22">OFFSET(#REF!,0,0,COUNT(#REF!),2)</definedName>
    <definedName name="df_obj2" localSheetId="31">OFFSET(#REF!,0,0,COUNT(#REF!),2)</definedName>
    <definedName name="df_obj2" localSheetId="18">OFFSET(#REF!,0,0,COUNT(#REF!),2)</definedName>
    <definedName name="df_obj2" localSheetId="54">OFFSET(#REF!,0,0,COUNT(#REF!),2)</definedName>
    <definedName name="df_obj2" localSheetId="30">OFFSET(#REF!,0,0,COUNT(#REF!),2)</definedName>
    <definedName name="df_obj2" localSheetId="14">OFFSET(#REF!,0,0,COUNT(#REF!),2)</definedName>
    <definedName name="df_obj2" localSheetId="38">OFFSET(#REF!,0,0,COUNT(#REF!),2)</definedName>
    <definedName name="df_obj2" localSheetId="39">OFFSET(#REF!,0,0,COUNT(#REF!),2)</definedName>
    <definedName name="df_obj2" localSheetId="2">OFFSET(#REF!,0,0,COUNT(#REF!),2)</definedName>
    <definedName name="df_obj2" localSheetId="58">OFFSET(#REF!,0,0,COUNT(#REF!),2)</definedName>
    <definedName name="df_obj2" localSheetId="56">OFFSET(#REF!,0,0,COUNT(#REF!),2)</definedName>
    <definedName name="df_obj2" localSheetId="19">OFFSET(#REF!,0,0,COUNT(#REF!),2)</definedName>
    <definedName name="df_obj2" localSheetId="9">OFFSET(#REF!,0,0,COUNT(#REF!),2)</definedName>
    <definedName name="df_obj2" localSheetId="6">OFFSET(#REF!,0,0,COUNT(#REF!),2)</definedName>
    <definedName name="df_obj2" localSheetId="17">OFFSET(#REF!,0,0,COUNT(#REF!),2)</definedName>
    <definedName name="df_obj2">OFFSET(#REF!,0,0,COUNT(#REF!),2)</definedName>
    <definedName name="dfd" localSheetId="15" hidden="1">{#N/A,#N/A,FALSE,"C-12";#N/A,#N/A,FALSE,"T-7";#N/A,#N/A,FALSE,"T-8";#N/A,#N/A,FALSE,"T-9";#N/A,#N/A,FALSE,"T-10";#N/A,#N/A,FALSE,"T-11";#N/A,#N/A,FALSE,"C-13";#N/A,#N/A,FALSE,"T-12"}</definedName>
    <definedName name="dfd" localSheetId="40" hidden="1">{#N/A,#N/A,FALSE,"C-12";#N/A,#N/A,FALSE,"T-7";#N/A,#N/A,FALSE,"T-8";#N/A,#N/A,FALSE,"T-9";#N/A,#N/A,FALSE,"T-10";#N/A,#N/A,FALSE,"T-11";#N/A,#N/A,FALSE,"C-13";#N/A,#N/A,FALSE,"T-12"}</definedName>
    <definedName name="dfd" localSheetId="41" hidden="1">{#N/A,#N/A,FALSE,"C-12";#N/A,#N/A,FALSE,"T-7";#N/A,#N/A,FALSE,"T-8";#N/A,#N/A,FALSE,"T-9";#N/A,#N/A,FALSE,"T-10";#N/A,#N/A,FALSE,"T-11";#N/A,#N/A,FALSE,"C-13";#N/A,#N/A,FALSE,"T-12"}</definedName>
    <definedName name="dfd" localSheetId="42" hidden="1">{#N/A,#N/A,FALSE,"C-12";#N/A,#N/A,FALSE,"T-7";#N/A,#N/A,FALSE,"T-8";#N/A,#N/A,FALSE,"T-9";#N/A,#N/A,FALSE,"T-10";#N/A,#N/A,FALSE,"T-11";#N/A,#N/A,FALSE,"C-13";#N/A,#N/A,FALSE,"T-12"}</definedName>
    <definedName name="dfd" localSheetId="43" hidden="1">{#N/A,#N/A,FALSE,"C-12";#N/A,#N/A,FALSE,"T-7";#N/A,#N/A,FALSE,"T-8";#N/A,#N/A,FALSE,"T-9";#N/A,#N/A,FALSE,"T-10";#N/A,#N/A,FALSE,"T-11";#N/A,#N/A,FALSE,"C-13";#N/A,#N/A,FALSE,"T-12"}</definedName>
    <definedName name="dfd" localSheetId="16" hidden="1">{#N/A,#N/A,FALSE,"C-12";#N/A,#N/A,FALSE,"T-7";#N/A,#N/A,FALSE,"T-8";#N/A,#N/A,FALSE,"T-9";#N/A,#N/A,FALSE,"T-10";#N/A,#N/A,FALSE,"T-11";#N/A,#N/A,FALSE,"C-13";#N/A,#N/A,FALSE,"T-12"}</definedName>
    <definedName name="dfd" localSheetId="44" hidden="1">{#N/A,#N/A,FALSE,"C-12";#N/A,#N/A,FALSE,"T-7";#N/A,#N/A,FALSE,"T-8";#N/A,#N/A,FALSE,"T-9";#N/A,#N/A,FALSE,"T-10";#N/A,#N/A,FALSE,"T-11";#N/A,#N/A,FALSE,"C-13";#N/A,#N/A,FALSE,"T-12"}</definedName>
    <definedName name="dfd" localSheetId="45" hidden="1">{#N/A,#N/A,FALSE,"C-12";#N/A,#N/A,FALSE,"T-7";#N/A,#N/A,FALSE,"T-8";#N/A,#N/A,FALSE,"T-9";#N/A,#N/A,FALSE,"T-10";#N/A,#N/A,FALSE,"T-11";#N/A,#N/A,FALSE,"C-13";#N/A,#N/A,FALSE,"T-12"}</definedName>
    <definedName name="dfd" localSheetId="46" hidden="1">{#N/A,#N/A,FALSE,"C-12";#N/A,#N/A,FALSE,"T-7";#N/A,#N/A,FALSE,"T-8";#N/A,#N/A,FALSE,"T-9";#N/A,#N/A,FALSE,"T-10";#N/A,#N/A,FALSE,"T-11";#N/A,#N/A,FALSE,"C-13";#N/A,#N/A,FALSE,"T-12"}</definedName>
    <definedName name="dfd" localSheetId="47" hidden="1">{#N/A,#N/A,FALSE,"C-12";#N/A,#N/A,FALSE,"T-7";#N/A,#N/A,FALSE,"T-8";#N/A,#N/A,FALSE,"T-9";#N/A,#N/A,FALSE,"T-10";#N/A,#N/A,FALSE,"T-11";#N/A,#N/A,FALSE,"C-13";#N/A,#N/A,FALSE,"T-12"}</definedName>
    <definedName name="dfd" localSheetId="48" hidden="1">{#N/A,#N/A,FALSE,"C-12";#N/A,#N/A,FALSE,"T-7";#N/A,#N/A,FALSE,"T-8";#N/A,#N/A,FALSE,"T-9";#N/A,#N/A,FALSE,"T-10";#N/A,#N/A,FALSE,"T-11";#N/A,#N/A,FALSE,"C-13";#N/A,#N/A,FALSE,"T-12"}</definedName>
    <definedName name="dfd" localSheetId="49" hidden="1">{#N/A,#N/A,FALSE,"C-12";#N/A,#N/A,FALSE,"T-7";#N/A,#N/A,FALSE,"T-8";#N/A,#N/A,FALSE,"T-9";#N/A,#N/A,FALSE,"T-10";#N/A,#N/A,FALSE,"T-11";#N/A,#N/A,FALSE,"C-13";#N/A,#N/A,FALSE,"T-12"}</definedName>
    <definedName name="dfd" localSheetId="50" hidden="1">{#N/A,#N/A,FALSE,"C-12";#N/A,#N/A,FALSE,"T-7";#N/A,#N/A,FALSE,"T-8";#N/A,#N/A,FALSE,"T-9";#N/A,#N/A,FALSE,"T-10";#N/A,#N/A,FALSE,"T-11";#N/A,#N/A,FALSE,"C-13";#N/A,#N/A,FALSE,"T-12"}</definedName>
    <definedName name="dfd" localSheetId="51" hidden="1">{#N/A,#N/A,FALSE,"C-12";#N/A,#N/A,FALSE,"T-7";#N/A,#N/A,FALSE,"T-8";#N/A,#N/A,FALSE,"T-9";#N/A,#N/A,FALSE,"T-10";#N/A,#N/A,FALSE,"T-11";#N/A,#N/A,FALSE,"C-13";#N/A,#N/A,FALSE,"T-12"}</definedName>
    <definedName name="dfd" localSheetId="52" hidden="1">{#N/A,#N/A,FALSE,"C-12";#N/A,#N/A,FALSE,"T-7";#N/A,#N/A,FALSE,"T-8";#N/A,#N/A,FALSE,"T-9";#N/A,#N/A,FALSE,"T-10";#N/A,#N/A,FALSE,"T-11";#N/A,#N/A,FALSE,"C-13";#N/A,#N/A,FALSE,"T-12"}</definedName>
    <definedName name="dfd" localSheetId="12" hidden="1">{#N/A,#N/A,FALSE,"C-12";#N/A,#N/A,FALSE,"T-7";#N/A,#N/A,FALSE,"T-8";#N/A,#N/A,FALSE,"T-9";#N/A,#N/A,FALSE,"T-10";#N/A,#N/A,FALSE,"T-11";#N/A,#N/A,FALSE,"C-13";#N/A,#N/A,FALSE,"T-12"}</definedName>
    <definedName name="dfd" localSheetId="13" hidden="1">{#N/A,#N/A,FALSE,"C-12";#N/A,#N/A,FALSE,"T-7";#N/A,#N/A,FALSE,"T-8";#N/A,#N/A,FALSE,"T-9";#N/A,#N/A,FALSE,"T-10";#N/A,#N/A,FALSE,"T-11";#N/A,#N/A,FALSE,"C-13";#N/A,#N/A,FALSE,"T-12"}</definedName>
    <definedName name="dfd" localSheetId="33" hidden="1">{#N/A,#N/A,FALSE,"C-12";#N/A,#N/A,FALSE,"T-7";#N/A,#N/A,FALSE,"T-8";#N/A,#N/A,FALSE,"T-9";#N/A,#N/A,FALSE,"T-10";#N/A,#N/A,FALSE,"T-11";#N/A,#N/A,FALSE,"C-13";#N/A,#N/A,FALSE,"T-12"}</definedName>
    <definedName name="dfd" localSheetId="10" hidden="1">{#N/A,#N/A,FALSE,"C-12";#N/A,#N/A,FALSE,"T-7";#N/A,#N/A,FALSE,"T-8";#N/A,#N/A,FALSE,"T-9";#N/A,#N/A,FALSE,"T-10";#N/A,#N/A,FALSE,"T-11";#N/A,#N/A,FALSE,"C-13";#N/A,#N/A,FALSE,"T-12"}</definedName>
    <definedName name="dfd" localSheetId="29" hidden="1">{#N/A,#N/A,FALSE,"C-12";#N/A,#N/A,FALSE,"T-7";#N/A,#N/A,FALSE,"T-8";#N/A,#N/A,FALSE,"T-9";#N/A,#N/A,FALSE,"T-10";#N/A,#N/A,FALSE,"T-11";#N/A,#N/A,FALSE,"C-13";#N/A,#N/A,FALSE,"T-12"}</definedName>
    <definedName name="dfd" localSheetId="32" hidden="1">{#N/A,#N/A,FALSE,"C-12";#N/A,#N/A,FALSE,"T-7";#N/A,#N/A,FALSE,"T-8";#N/A,#N/A,FALSE,"T-9";#N/A,#N/A,FALSE,"T-10";#N/A,#N/A,FALSE,"T-11";#N/A,#N/A,FALSE,"C-13";#N/A,#N/A,FALSE,"T-12"}</definedName>
    <definedName name="dfd" localSheetId="11" hidden="1">{#N/A,#N/A,FALSE,"C-12";#N/A,#N/A,FALSE,"T-7";#N/A,#N/A,FALSE,"T-8";#N/A,#N/A,FALSE,"T-9";#N/A,#N/A,FALSE,"T-10";#N/A,#N/A,FALSE,"T-11";#N/A,#N/A,FALSE,"C-13";#N/A,#N/A,FALSE,"T-12"}</definedName>
    <definedName name="dfd" localSheetId="36" hidden="1">{#N/A,#N/A,FALSE,"C-12";#N/A,#N/A,FALSE,"T-7";#N/A,#N/A,FALSE,"T-8";#N/A,#N/A,FALSE,"T-9";#N/A,#N/A,FALSE,"T-10";#N/A,#N/A,FALSE,"T-11";#N/A,#N/A,FALSE,"C-13";#N/A,#N/A,FALSE,"T-12"}</definedName>
    <definedName name="dfd" localSheetId="35" hidden="1">{#N/A,#N/A,FALSE,"C-12";#N/A,#N/A,FALSE,"T-7";#N/A,#N/A,FALSE,"T-8";#N/A,#N/A,FALSE,"T-9";#N/A,#N/A,FALSE,"T-10";#N/A,#N/A,FALSE,"T-11";#N/A,#N/A,FALSE,"C-13";#N/A,#N/A,FALSE,"T-12"}</definedName>
    <definedName name="dfd" localSheetId="7" hidden="1">{#N/A,#N/A,FALSE,"C-12";#N/A,#N/A,FALSE,"T-7";#N/A,#N/A,FALSE,"T-8";#N/A,#N/A,FALSE,"T-9";#N/A,#N/A,FALSE,"T-10";#N/A,#N/A,FALSE,"T-11";#N/A,#N/A,FALSE,"C-13";#N/A,#N/A,FALSE,"T-12"}</definedName>
    <definedName name="dfd" localSheetId="25" hidden="1">{#N/A,#N/A,FALSE,"C-12";#N/A,#N/A,FALSE,"T-7";#N/A,#N/A,FALSE,"T-8";#N/A,#N/A,FALSE,"T-9";#N/A,#N/A,FALSE,"T-10";#N/A,#N/A,FALSE,"T-11";#N/A,#N/A,FALSE,"C-13";#N/A,#N/A,FALSE,"T-12"}</definedName>
    <definedName name="dfd" localSheetId="26" hidden="1">{#N/A,#N/A,FALSE,"C-12";#N/A,#N/A,FALSE,"T-7";#N/A,#N/A,FALSE,"T-8";#N/A,#N/A,FALSE,"T-9";#N/A,#N/A,FALSE,"T-10";#N/A,#N/A,FALSE,"T-11";#N/A,#N/A,FALSE,"C-13";#N/A,#N/A,FALSE,"T-12"}</definedName>
    <definedName name="dfd" localSheetId="24" hidden="1">{#N/A,#N/A,FALSE,"C-12";#N/A,#N/A,FALSE,"T-7";#N/A,#N/A,FALSE,"T-8";#N/A,#N/A,FALSE,"T-9";#N/A,#N/A,FALSE,"T-10";#N/A,#N/A,FALSE,"T-11";#N/A,#N/A,FALSE,"C-13";#N/A,#N/A,FALSE,"T-12"}</definedName>
    <definedName name="dfd" localSheetId="31" hidden="1">{#N/A,#N/A,FALSE,"C-12";#N/A,#N/A,FALSE,"T-7";#N/A,#N/A,FALSE,"T-8";#N/A,#N/A,FALSE,"T-9";#N/A,#N/A,FALSE,"T-10";#N/A,#N/A,FALSE,"T-11";#N/A,#N/A,FALSE,"C-13";#N/A,#N/A,FALSE,"T-12"}</definedName>
    <definedName name="dfd" localSheetId="18" hidden="1">{#N/A,#N/A,FALSE,"C-12";#N/A,#N/A,FALSE,"T-7";#N/A,#N/A,FALSE,"T-8";#N/A,#N/A,FALSE,"T-9";#N/A,#N/A,FALSE,"T-10";#N/A,#N/A,FALSE,"T-11";#N/A,#N/A,FALSE,"C-13";#N/A,#N/A,FALSE,"T-12"}</definedName>
    <definedName name="dfd" localSheetId="54" hidden="1">{#N/A,#N/A,FALSE,"C-12";#N/A,#N/A,FALSE,"T-7";#N/A,#N/A,FALSE,"T-8";#N/A,#N/A,FALSE,"T-9";#N/A,#N/A,FALSE,"T-10";#N/A,#N/A,FALSE,"T-11";#N/A,#N/A,FALSE,"C-13";#N/A,#N/A,FALSE,"T-12"}</definedName>
    <definedName name="dfd" localSheetId="30" hidden="1">{#N/A,#N/A,FALSE,"C-12";#N/A,#N/A,FALSE,"T-7";#N/A,#N/A,FALSE,"T-8";#N/A,#N/A,FALSE,"T-9";#N/A,#N/A,FALSE,"T-10";#N/A,#N/A,FALSE,"T-11";#N/A,#N/A,FALSE,"C-13";#N/A,#N/A,FALSE,"T-12"}</definedName>
    <definedName name="dfd" localSheetId="14" hidden="1">{#N/A,#N/A,FALSE,"C-12";#N/A,#N/A,FALSE,"T-7";#N/A,#N/A,FALSE,"T-8";#N/A,#N/A,FALSE,"T-9";#N/A,#N/A,FALSE,"T-10";#N/A,#N/A,FALSE,"T-11";#N/A,#N/A,FALSE,"C-13";#N/A,#N/A,FALSE,"T-12"}</definedName>
    <definedName name="dfd" localSheetId="37" hidden="1">{#N/A,#N/A,FALSE,"C-12";#N/A,#N/A,FALSE,"T-7";#N/A,#N/A,FALSE,"T-8";#N/A,#N/A,FALSE,"T-9";#N/A,#N/A,FALSE,"T-10";#N/A,#N/A,FALSE,"T-11";#N/A,#N/A,FALSE,"C-13";#N/A,#N/A,FALSE,"T-12"}</definedName>
    <definedName name="dfd" localSheetId="38" hidden="1">{#N/A,#N/A,FALSE,"C-12";#N/A,#N/A,FALSE,"T-7";#N/A,#N/A,FALSE,"T-8";#N/A,#N/A,FALSE,"T-9";#N/A,#N/A,FALSE,"T-10";#N/A,#N/A,FALSE,"T-11";#N/A,#N/A,FALSE,"C-13";#N/A,#N/A,FALSE,"T-12"}</definedName>
    <definedName name="dfd" localSheetId="39" hidden="1">{#N/A,#N/A,FALSE,"C-12";#N/A,#N/A,FALSE,"T-7";#N/A,#N/A,FALSE,"T-8";#N/A,#N/A,FALSE,"T-9";#N/A,#N/A,FALSE,"T-10";#N/A,#N/A,FALSE,"T-11";#N/A,#N/A,FALSE,"C-13";#N/A,#N/A,FALSE,"T-12"}</definedName>
    <definedName name="dfd" localSheetId="19" hidden="1">{#N/A,#N/A,FALSE,"C-12";#N/A,#N/A,FALSE,"T-7";#N/A,#N/A,FALSE,"T-8";#N/A,#N/A,FALSE,"T-9";#N/A,#N/A,FALSE,"T-10";#N/A,#N/A,FALSE,"T-11";#N/A,#N/A,FALSE,"C-13";#N/A,#N/A,FALSE,"T-12"}</definedName>
    <definedName name="dfd" localSheetId="9" hidden="1">{#N/A,#N/A,FALSE,"C-12";#N/A,#N/A,FALSE,"T-7";#N/A,#N/A,FALSE,"T-8";#N/A,#N/A,FALSE,"T-9";#N/A,#N/A,FALSE,"T-10";#N/A,#N/A,FALSE,"T-11";#N/A,#N/A,FALSE,"C-13";#N/A,#N/A,FALSE,"T-12"}</definedName>
    <definedName name="dfd" localSheetId="34" hidden="1">{#N/A,#N/A,FALSE,"C-12";#N/A,#N/A,FALSE,"T-7";#N/A,#N/A,FALSE,"T-8";#N/A,#N/A,FALSE,"T-9";#N/A,#N/A,FALSE,"T-10";#N/A,#N/A,FALSE,"T-11";#N/A,#N/A,FALSE,"C-13";#N/A,#N/A,FALSE,"T-12"}</definedName>
    <definedName name="dfd" hidden="1">{#N/A,#N/A,FALSE,"C-12";#N/A,#N/A,FALSE,"T-7";#N/A,#N/A,FALSE,"T-8";#N/A,#N/A,FALSE,"T-9";#N/A,#N/A,FALSE,"T-10";#N/A,#N/A,FALSE,"T-11";#N/A,#N/A,FALSE,"C-13";#N/A,#N/A,FALSE,"T-12"}</definedName>
    <definedName name="eliminacje" localSheetId="43">#REF!</definedName>
    <definedName name="eliminacje" localSheetId="52">#REF!</definedName>
    <definedName name="eliminacje" localSheetId="28">#REF!</definedName>
    <definedName name="eliminacje" localSheetId="36">#REF!</definedName>
    <definedName name="eliminacje" localSheetId="7">#REF!</definedName>
    <definedName name="eliminacje" localSheetId="26">#REF!</definedName>
    <definedName name="eliminacje" localSheetId="23">#REF!</definedName>
    <definedName name="eliminacje" localSheetId="22">#REF!</definedName>
    <definedName name="eliminacje" localSheetId="39">#REF!</definedName>
    <definedName name="eliminacje" localSheetId="56">#REF!</definedName>
    <definedName name="eliminacje" localSheetId="19">#REF!</definedName>
    <definedName name="eliminacje">#REF!</definedName>
    <definedName name="eliminacjeMSR" localSheetId="43">#REF!</definedName>
    <definedName name="eliminacjeMSR" localSheetId="52">#REF!</definedName>
    <definedName name="eliminacjeMSR" localSheetId="28">#REF!</definedName>
    <definedName name="eliminacjeMSR" localSheetId="36">#REF!</definedName>
    <definedName name="eliminacjeMSR" localSheetId="7">#REF!</definedName>
    <definedName name="eliminacjeMSR" localSheetId="26">#REF!</definedName>
    <definedName name="eliminacjeMSR" localSheetId="23">#REF!</definedName>
    <definedName name="eliminacjeMSR" localSheetId="22">#REF!</definedName>
    <definedName name="eliminacjeMSR" localSheetId="39">#REF!</definedName>
    <definedName name="eliminacjeMSR" localSheetId="56">#REF!</definedName>
    <definedName name="eliminacjeMSR" localSheetId="19">#REF!</definedName>
    <definedName name="eliminacjeMSR">#REF!</definedName>
    <definedName name="ert" localSheetId="15" hidden="1">{#N/A,#N/A,TRUE,"Nagłówek"}</definedName>
    <definedName name="ert" localSheetId="40" hidden="1">{#N/A,#N/A,TRUE,"Nagłówek"}</definedName>
    <definedName name="ert" localSheetId="41" hidden="1">{#N/A,#N/A,TRUE,"Nagłówek"}</definedName>
    <definedName name="ert" localSheetId="42" hidden="1">{#N/A,#N/A,TRUE,"Nagłówek"}</definedName>
    <definedName name="ert" localSheetId="43" hidden="1">{#N/A,#N/A,TRUE,"Nagłówek"}</definedName>
    <definedName name="ert" localSheetId="16" hidden="1">{#N/A,#N/A,TRUE,"Nagłówek"}</definedName>
    <definedName name="ert" localSheetId="44" hidden="1">{#N/A,#N/A,TRUE,"Nagłówek"}</definedName>
    <definedName name="ert" localSheetId="45" hidden="1">{#N/A,#N/A,TRUE,"Nagłówek"}</definedName>
    <definedName name="ert" localSheetId="46" hidden="1">{#N/A,#N/A,TRUE,"Nagłówek"}</definedName>
    <definedName name="ert" localSheetId="47" hidden="1">{#N/A,#N/A,TRUE,"Nagłówek"}</definedName>
    <definedName name="ert" localSheetId="48" hidden="1">{#N/A,#N/A,TRUE,"Nagłówek"}</definedName>
    <definedName name="ert" localSheetId="49" hidden="1">{#N/A,#N/A,TRUE,"Nagłówek"}</definedName>
    <definedName name="ert" localSheetId="50" hidden="1">{#N/A,#N/A,TRUE,"Nagłówek"}</definedName>
    <definedName name="ert" localSheetId="51" hidden="1">{#N/A,#N/A,TRUE,"Nagłówek"}</definedName>
    <definedName name="ert" localSheetId="52" hidden="1">{#N/A,#N/A,TRUE,"Nagłówek"}</definedName>
    <definedName name="ert" localSheetId="12" hidden="1">{#N/A,#N/A,TRUE,"Nagłówek"}</definedName>
    <definedName name="ert" localSheetId="13" hidden="1">{#N/A,#N/A,TRUE,"Nagłówek"}</definedName>
    <definedName name="ert" localSheetId="33" hidden="1">{#N/A,#N/A,TRUE,"Nagłówek"}</definedName>
    <definedName name="ert" localSheetId="10" hidden="1">{#N/A,#N/A,TRUE,"Nagłówek"}</definedName>
    <definedName name="ert" localSheetId="29" hidden="1">{#N/A,#N/A,TRUE,"Nagłówek"}</definedName>
    <definedName name="ert" localSheetId="32" hidden="1">{#N/A,#N/A,TRUE,"Nagłówek"}</definedName>
    <definedName name="ert" localSheetId="11" hidden="1">{#N/A,#N/A,TRUE,"Nagłówek"}</definedName>
    <definedName name="ert" localSheetId="36" hidden="1">{#N/A,#N/A,TRUE,"Nagłówek"}</definedName>
    <definedName name="ert" localSheetId="35" hidden="1">{#N/A,#N/A,TRUE,"Nagłówek"}</definedName>
    <definedName name="ert" localSheetId="7" hidden="1">{#N/A,#N/A,TRUE,"Nagłówek"}</definedName>
    <definedName name="ert" localSheetId="25" hidden="1">{#N/A,#N/A,TRUE,"Nagłówek"}</definedName>
    <definedName name="ert" localSheetId="26" hidden="1">{#N/A,#N/A,TRUE,"Nagłówek"}</definedName>
    <definedName name="ert" localSheetId="24" hidden="1">{#N/A,#N/A,TRUE,"Nagłówek"}</definedName>
    <definedName name="ert" localSheetId="31" hidden="1">{#N/A,#N/A,TRUE,"Nagłówek"}</definedName>
    <definedName name="ert" localSheetId="18" hidden="1">{#N/A,#N/A,TRUE,"Nagłówek"}</definedName>
    <definedName name="ert" localSheetId="54" hidden="1">{#N/A,#N/A,TRUE,"Nagłówek"}</definedName>
    <definedName name="ert" localSheetId="30" hidden="1">{#N/A,#N/A,TRUE,"Nagłówek"}</definedName>
    <definedName name="ert" localSheetId="14" hidden="1">{#N/A,#N/A,TRUE,"Nagłówek"}</definedName>
    <definedName name="ert" localSheetId="37" hidden="1">{#N/A,#N/A,TRUE,"Nagłówek"}</definedName>
    <definedName name="ert" localSheetId="38" hidden="1">{#N/A,#N/A,TRUE,"Nagłówek"}</definedName>
    <definedName name="ert" localSheetId="39" hidden="1">{#N/A,#N/A,TRUE,"Nagłówek"}</definedName>
    <definedName name="ert" localSheetId="19" hidden="1">{#N/A,#N/A,TRUE,"Nagłówek"}</definedName>
    <definedName name="ert" localSheetId="9" hidden="1">{#N/A,#N/A,TRUE,"Nagłówek"}</definedName>
    <definedName name="ert" localSheetId="34" hidden="1">{#N/A,#N/A,TRUE,"Nagłówek"}</definedName>
    <definedName name="ert" hidden="1">{#N/A,#N/A,TRUE,"Nagłówek"}</definedName>
    <definedName name="erwtl.j" localSheetId="43">#REF!</definedName>
    <definedName name="erwtl.j" localSheetId="52">#REF!</definedName>
    <definedName name="erwtl.j" localSheetId="28">#REF!</definedName>
    <definedName name="erwtl.j" localSheetId="36">#REF!</definedName>
    <definedName name="erwtl.j" localSheetId="7">#REF!</definedName>
    <definedName name="erwtl.j" localSheetId="26">#REF!</definedName>
    <definedName name="erwtl.j" localSheetId="23">#REF!</definedName>
    <definedName name="erwtl.j" localSheetId="22">#REF!</definedName>
    <definedName name="erwtl.j" localSheetId="39">#REF!</definedName>
    <definedName name="erwtl.j" localSheetId="56">#REF!</definedName>
    <definedName name="erwtl.j" localSheetId="19">#REF!</definedName>
    <definedName name="erwtl.j">#REF!</definedName>
    <definedName name="EURa">[5]ster!$E$11</definedName>
    <definedName name="EURp">[5]ster!$F$11</definedName>
    <definedName name="ewewe" localSheetId="15" hidden="1">{#N/A,#N/A,TRUE,"Nagłówek"}</definedName>
    <definedName name="ewewe" localSheetId="40" hidden="1">{#N/A,#N/A,TRUE,"Nagłówek"}</definedName>
    <definedName name="ewewe" localSheetId="41" hidden="1">{#N/A,#N/A,TRUE,"Nagłówek"}</definedName>
    <definedName name="ewewe" localSheetId="42" hidden="1">{#N/A,#N/A,TRUE,"Nagłówek"}</definedName>
    <definedName name="ewewe" localSheetId="43" hidden="1">{#N/A,#N/A,TRUE,"Nagłówek"}</definedName>
    <definedName name="ewewe" localSheetId="16" hidden="1">{#N/A,#N/A,TRUE,"Nagłówek"}</definedName>
    <definedName name="ewewe" localSheetId="44" hidden="1">{#N/A,#N/A,TRUE,"Nagłówek"}</definedName>
    <definedName name="ewewe" localSheetId="45" hidden="1">{#N/A,#N/A,TRUE,"Nagłówek"}</definedName>
    <definedName name="ewewe" localSheetId="46" hidden="1">{#N/A,#N/A,TRUE,"Nagłówek"}</definedName>
    <definedName name="ewewe" localSheetId="47" hidden="1">{#N/A,#N/A,TRUE,"Nagłówek"}</definedName>
    <definedName name="ewewe" localSheetId="48" hidden="1">{#N/A,#N/A,TRUE,"Nagłówek"}</definedName>
    <definedName name="ewewe" localSheetId="49" hidden="1">{#N/A,#N/A,TRUE,"Nagłówek"}</definedName>
    <definedName name="ewewe" localSheetId="50" hidden="1">{#N/A,#N/A,TRUE,"Nagłówek"}</definedName>
    <definedName name="ewewe" localSheetId="51" hidden="1">{#N/A,#N/A,TRUE,"Nagłówek"}</definedName>
    <definedName name="ewewe" localSheetId="52" hidden="1">{#N/A,#N/A,TRUE,"Nagłówek"}</definedName>
    <definedName name="ewewe" localSheetId="12" hidden="1">{#N/A,#N/A,TRUE,"Nagłówek"}</definedName>
    <definedName name="ewewe" localSheetId="13" hidden="1">{#N/A,#N/A,TRUE,"Nagłówek"}</definedName>
    <definedName name="ewewe" localSheetId="33" hidden="1">{#N/A,#N/A,TRUE,"Nagłówek"}</definedName>
    <definedName name="ewewe" localSheetId="10" hidden="1">{#N/A,#N/A,TRUE,"Nagłówek"}</definedName>
    <definedName name="ewewe" localSheetId="29" hidden="1">{#N/A,#N/A,TRUE,"Nagłówek"}</definedName>
    <definedName name="ewewe" localSheetId="32" hidden="1">{#N/A,#N/A,TRUE,"Nagłówek"}</definedName>
    <definedName name="ewewe" localSheetId="11" hidden="1">{#N/A,#N/A,TRUE,"Nagłówek"}</definedName>
    <definedName name="ewewe" localSheetId="36" hidden="1">{#N/A,#N/A,TRUE,"Nagłówek"}</definedName>
    <definedName name="ewewe" localSheetId="35" hidden="1">{#N/A,#N/A,TRUE,"Nagłówek"}</definedName>
    <definedName name="ewewe" localSheetId="7" hidden="1">{#N/A,#N/A,TRUE,"Nagłówek"}</definedName>
    <definedName name="ewewe" localSheetId="25" hidden="1">{#N/A,#N/A,TRUE,"Nagłówek"}</definedName>
    <definedName name="ewewe" localSheetId="26" hidden="1">{#N/A,#N/A,TRUE,"Nagłówek"}</definedName>
    <definedName name="ewewe" localSheetId="24" hidden="1">{#N/A,#N/A,TRUE,"Nagłówek"}</definedName>
    <definedName name="ewewe" localSheetId="31" hidden="1">{#N/A,#N/A,TRUE,"Nagłówek"}</definedName>
    <definedName name="ewewe" localSheetId="18" hidden="1">{#N/A,#N/A,TRUE,"Nagłówek"}</definedName>
    <definedName name="ewewe" localSheetId="54" hidden="1">{#N/A,#N/A,TRUE,"Nagłówek"}</definedName>
    <definedName name="ewewe" localSheetId="30" hidden="1">{#N/A,#N/A,TRUE,"Nagłówek"}</definedName>
    <definedName name="ewewe" localSheetId="14" hidden="1">{#N/A,#N/A,TRUE,"Nagłówek"}</definedName>
    <definedName name="ewewe" localSheetId="37" hidden="1">{#N/A,#N/A,TRUE,"Nagłówek"}</definedName>
    <definedName name="ewewe" localSheetId="38" hidden="1">{#N/A,#N/A,TRUE,"Nagłówek"}</definedName>
    <definedName name="ewewe" localSheetId="39" hidden="1">{#N/A,#N/A,TRUE,"Nagłówek"}</definedName>
    <definedName name="ewewe" localSheetId="19" hidden="1">{#N/A,#N/A,TRUE,"Nagłówek"}</definedName>
    <definedName name="ewewe" localSheetId="9" hidden="1">{#N/A,#N/A,TRUE,"Nagłówek"}</definedName>
    <definedName name="ewewe" localSheetId="34" hidden="1">{#N/A,#N/A,TRUE,"Nagłówek"}</definedName>
    <definedName name="ewewe" hidden="1">{#N/A,#N/A,TRUE,"Nagłówek"}</definedName>
    <definedName name="eyijyvmd" localSheetId="43">#REF!</definedName>
    <definedName name="eyijyvmd" localSheetId="52">#REF!</definedName>
    <definedName name="eyijyvmd" localSheetId="28">#REF!</definedName>
    <definedName name="eyijyvmd" localSheetId="36">#REF!</definedName>
    <definedName name="eyijyvmd" localSheetId="7">#REF!</definedName>
    <definedName name="eyijyvmd" localSheetId="26">#REF!</definedName>
    <definedName name="eyijyvmd" localSheetId="23">#REF!</definedName>
    <definedName name="eyijyvmd" localSheetId="22">#REF!</definedName>
    <definedName name="eyijyvmd" localSheetId="39">#REF!</definedName>
    <definedName name="eyijyvmd" localSheetId="56">#REF!</definedName>
    <definedName name="eyijyvmd" localSheetId="19">#REF!</definedName>
    <definedName name="eyijyvmd">#REF!</definedName>
    <definedName name="f" localSheetId="36" hidden="1">{#N/A,#N/A,TRUE,"Nagłówek"}</definedName>
    <definedName name="f" localSheetId="24" hidden="1">{#N/A,#N/A,TRUE,"Nagłówek"}</definedName>
    <definedName name="f" localSheetId="18" hidden="1">{#N/A,#N/A,TRUE,"Nagłówek"}</definedName>
    <definedName name="f" localSheetId="54" hidden="1">{#N/A,#N/A,TRUE,"Nagłówek"}</definedName>
    <definedName name="f" localSheetId="19" hidden="1">{#N/A,#N/A,TRUE,"Nagłówek"}</definedName>
    <definedName name="f" hidden="1">{#N/A,#N/A,TRUE,"Nagłówek"}</definedName>
    <definedName name="flleg_obj" localSheetId="15">OFFSET(#REF!,0,0,COUNT(#REF!),3)</definedName>
    <definedName name="flleg_obj" localSheetId="41">OFFSET(#REF!,0,0,COUNT(#REF!),3)</definedName>
    <definedName name="flleg_obj" localSheetId="42">OFFSET(#REF!,0,0,COUNT(#REF!),3)</definedName>
    <definedName name="flleg_obj" localSheetId="43">OFFSET(#REF!,0,0,COUNT(#REF!),3)</definedName>
    <definedName name="flleg_obj" localSheetId="16">OFFSET(#REF!,0,0,COUNT(#REF!),3)</definedName>
    <definedName name="flleg_obj" localSheetId="45">OFFSET(#REF!,0,0,COUNT(#REF!),3)</definedName>
    <definedName name="flleg_obj" localSheetId="46">OFFSET(#REF!,0,0,COUNT(#REF!),3)</definedName>
    <definedName name="flleg_obj" localSheetId="47">OFFSET(#REF!,0,0,COUNT(#REF!),3)</definedName>
    <definedName name="flleg_obj" localSheetId="48">OFFSET(#REF!,0,0,COUNT(#REF!),3)</definedName>
    <definedName name="flleg_obj" localSheetId="49">OFFSET(#REF!,0,0,COUNT(#REF!),3)</definedName>
    <definedName name="flleg_obj" localSheetId="50">OFFSET(#REF!,0,0,COUNT(#REF!),3)</definedName>
    <definedName name="flleg_obj" localSheetId="51">OFFSET(#REF!,0,0,COUNT(#REF!),3)</definedName>
    <definedName name="flleg_obj" localSheetId="52">OFFSET(#REF!,0,0,COUNT(#REF!),3)</definedName>
    <definedName name="flleg_obj" localSheetId="10">OFFSET(#REF!,0,0,COUNT(#REF!),3)</definedName>
    <definedName name="flleg_obj" localSheetId="27">OFFSET(#REF!,0,0,COUNT(#REF!),3)</definedName>
    <definedName name="flleg_obj" localSheetId="28">OFFSET(#REF!,0,0,COUNT(#REF!),3)</definedName>
    <definedName name="flleg_obj" localSheetId="8">OFFSET(#REF!,0,0,COUNT(#REF!),3)</definedName>
    <definedName name="flleg_obj" localSheetId="32">OFFSET(#REF!,0,0,COUNT(#REF!),3)</definedName>
    <definedName name="flleg_obj" localSheetId="11">OFFSET(#REF!,0,0,COUNT(#REF!),3)</definedName>
    <definedName name="flleg_obj" localSheetId="35">OFFSET(#REF!,0,0,COUNT(#REF!),3)</definedName>
    <definedName name="flleg_obj" localSheetId="7">OFFSET(#REF!,0,0,COUNT(#REF!),3)</definedName>
    <definedName name="flleg_obj" localSheetId="26">OFFSET(#REF!,0,0,COUNT(#REF!),3)</definedName>
    <definedName name="flleg_obj" localSheetId="23">OFFSET(#REF!,0,0,COUNT(#REF!),3)</definedName>
    <definedName name="flleg_obj" localSheetId="22">OFFSET(#REF!,0,0,COUNT(#REF!),3)</definedName>
    <definedName name="flleg_obj" localSheetId="31">OFFSET(#REF!,0,0,COUNT(#REF!),3)</definedName>
    <definedName name="flleg_obj" localSheetId="18">OFFSET(#REF!,0,0,COUNT(#REF!),3)</definedName>
    <definedName name="flleg_obj" localSheetId="54">OFFSET(#REF!,0,0,COUNT(#REF!),3)</definedName>
    <definedName name="flleg_obj" localSheetId="30">OFFSET(#REF!,0,0,COUNT(#REF!),3)</definedName>
    <definedName name="flleg_obj" localSheetId="14">OFFSET(#REF!,0,0,COUNT(#REF!),3)</definedName>
    <definedName name="flleg_obj" localSheetId="38">OFFSET(#REF!,0,0,COUNT(#REF!),3)</definedName>
    <definedName name="flleg_obj" localSheetId="39">OFFSET(#REF!,0,0,COUNT(#REF!),3)</definedName>
    <definedName name="flleg_obj" localSheetId="2">OFFSET(#REF!,0,0,COUNT(#REF!),3)</definedName>
    <definedName name="flleg_obj" localSheetId="58">OFFSET(#REF!,0,0,COUNT(#REF!),3)</definedName>
    <definedName name="flleg_obj" localSheetId="56">OFFSET(#REF!,0,0,COUNT(#REF!),3)</definedName>
    <definedName name="flleg_obj" localSheetId="19">OFFSET(#REF!,0,0,COUNT(#REF!),3)</definedName>
    <definedName name="flleg_obj" localSheetId="9">OFFSET(#REF!,0,0,COUNT(#REF!),3)</definedName>
    <definedName name="flleg_obj" localSheetId="6">OFFSET(#REF!,0,0,COUNT(#REF!),3)</definedName>
    <definedName name="flleg_obj" localSheetId="17">OFFSET(#REF!,0,0,COUNT(#REF!),3)</definedName>
    <definedName name="flleg_obj">OFFSET(#REF!,0,0,COUNT(#REF!),3)</definedName>
    <definedName name="FWT_Bilans" localSheetId="15">Bilans!$B$2:$B$49</definedName>
    <definedName name="FWT_Bilans" localSheetId="40">'Bilans''13-''15'!$B$4:$K$51</definedName>
    <definedName name="FWT_Bilans" localSheetId="41">'Bilans''16'!$B$4:$B$46</definedName>
    <definedName name="FWT_Bilans" localSheetId="42">'Bilans''17-''18'!$B$4:$B$50</definedName>
    <definedName name="FWT_Bilans" localSheetId="43">'Bilans''19-''24'!$B$4:$B$58</definedName>
    <definedName name="FWT_CF" localSheetId="16">CashFlow!$B$2:$B$47</definedName>
    <definedName name="FWT_CF" localSheetId="44">'CashFlow ''13-''15'!$B$4:$Q$53</definedName>
    <definedName name="FWT_CF" localSheetId="45">'CashFlow ''16-''17'!$B$4:$G$52</definedName>
    <definedName name="FWT_CF" localSheetId="46">'CashFlow ''18'!$B$4:$B$51</definedName>
    <definedName name="FWT_CF" localSheetId="47">'CashFlow ''19'!$B$4:$B$53</definedName>
    <definedName name="FWT_CF" localSheetId="48">'CashFlow ''20'!$B$4:$B$59</definedName>
    <definedName name="FWT_CF" localSheetId="49">'CashFlow ''21'!$B$4:$B$51</definedName>
    <definedName name="FWT_CF" localSheetId="50">'CashFlow ''22'!$B$4:$B$53</definedName>
    <definedName name="FWT_CF" localSheetId="51">'CashFlow ''23'!$B$4:$B$58</definedName>
    <definedName name="FWT_CF" localSheetId="52">'CashFlow''24'!$B$4:$B$54</definedName>
    <definedName name="FWT_CK" localSheetId="36">'Funkcje Korporacyjne ''13-''24'!$B$4:$Q$20</definedName>
    <definedName name="FWT_CK">'Corporate functions'!$B$2:$B$17</definedName>
    <definedName name="FWT_Detal" localSheetId="12">'Consumers&amp;Products'!$B$2:$B$16</definedName>
    <definedName name="FWT_Detal" localSheetId="33">'Detal ''13-''24'!$B$4:$Q$19</definedName>
    <definedName name="FWT_Downstream" localSheetId="10">Downstream!$B$2:$B$17</definedName>
    <definedName name="FWT_Downstream" localSheetId="29">'Downstream''13-''19'!$B$4:$Q$22</definedName>
    <definedName name="FWT_Downstream" localSheetId="32">'Energetyka ''19-''24'!$B$4:$B$19</definedName>
    <definedName name="FWT_Downstream" localSheetId="11">Energy!$B$2:$B$15</definedName>
    <definedName name="FWT_Downstream" localSheetId="35">'Gaz ''22-''24'!$B$4:$B$19</definedName>
    <definedName name="FWT_Downstream" localSheetId="31">'Petrochemia ''19-''24'!$B$4:$B$22</definedName>
    <definedName name="FWT_Downstream" localSheetId="30">'Rafineria ''19-''24'!$B$4:$B$22</definedName>
    <definedName name="FWT_Downstream" localSheetId="9">'Upstream&amp;Supply'!$B$2:$B$17</definedName>
    <definedName name="FWT_Inwestycje_Inst_1" localSheetId="43">#REF!</definedName>
    <definedName name="FWT_Inwestycje_Inst_1" localSheetId="52">#REF!</definedName>
    <definedName name="FWT_Inwestycje_Inst_1" localSheetId="28">#REF!</definedName>
    <definedName name="FWT_Inwestycje_Inst_1" localSheetId="36">#REF!</definedName>
    <definedName name="FWT_Inwestycje_Inst_1" localSheetId="7">#REF!</definedName>
    <definedName name="FWT_Inwestycje_Inst_1" localSheetId="26">#REF!</definedName>
    <definedName name="FWT_Inwestycje_Inst_1" localSheetId="23">#REF!</definedName>
    <definedName name="FWT_Inwestycje_Inst_1" localSheetId="22">#REF!</definedName>
    <definedName name="FWT_Inwestycje_Inst_1" localSheetId="39">#REF!</definedName>
    <definedName name="FWT_Inwestycje_Inst_1" localSheetId="56">#REF!</definedName>
    <definedName name="FWT_Inwestycje_Inst_1" localSheetId="19">#REF!</definedName>
    <definedName name="FWT_Inwestycje_Inst_1">#REF!</definedName>
    <definedName name="FWT_Inwestycjenew" localSheetId="43">#REF!</definedName>
    <definedName name="FWT_Inwestycjenew" localSheetId="52">#REF!</definedName>
    <definedName name="FWT_Inwestycjenew" localSheetId="28">#REF!</definedName>
    <definedName name="FWT_Inwestycjenew" localSheetId="36">#REF!</definedName>
    <definedName name="FWT_Inwestycjenew" localSheetId="7">#REF!</definedName>
    <definedName name="FWT_Inwestycjenew" localSheetId="26">#REF!</definedName>
    <definedName name="FWT_Inwestycjenew" localSheetId="23">#REF!</definedName>
    <definedName name="FWT_Inwestycjenew" localSheetId="22">#REF!</definedName>
    <definedName name="FWT_Inwestycjenew" localSheetId="39">#REF!</definedName>
    <definedName name="FWT_Inwestycjenew" localSheetId="56">#REF!</definedName>
    <definedName name="FWT_Inwestycjenew" localSheetId="19">#REF!</definedName>
    <definedName name="FWT_Inwestycjenew">#REF!</definedName>
    <definedName name="FWT_Konsumpcja" localSheetId="24">'Konsumpcja''13-''24'!$B$4:$Q$17</definedName>
    <definedName name="FWT_Konsumpcja">Konsumpcja!$B$4:$B$14</definedName>
    <definedName name="FWT_Kursy" localSheetId="43">#REF!</definedName>
    <definedName name="FWT_Kursy" localSheetId="52">#REF!</definedName>
    <definedName name="FWT_Kursy" localSheetId="23">'Kursy''13-''24'!$B$4:$BZ$16</definedName>
    <definedName name="FWT_Kursy" localSheetId="39">#REF!</definedName>
    <definedName name="FWT_Kursy">#REF!</definedName>
    <definedName name="FWT_Marze" localSheetId="22">'Marże''13-''24'!$B$4:$O$35</definedName>
    <definedName name="FWT_Marze">'Parametry makro'!$B$4:$B$32</definedName>
    <definedName name="FWT_MSR19_Aktywn_Emeryt_GEO" localSheetId="43">#REF!</definedName>
    <definedName name="FWT_MSR19_Aktywn_Emeryt_GEO" localSheetId="52">#REF!</definedName>
    <definedName name="FWT_MSR19_Aktywn_Emeryt_GEO" localSheetId="28">#REF!</definedName>
    <definedName name="FWT_MSR19_Aktywn_Emeryt_GEO" localSheetId="36">#REF!</definedName>
    <definedName name="FWT_MSR19_Aktywn_Emeryt_GEO" localSheetId="7">#REF!</definedName>
    <definedName name="FWT_MSR19_Aktywn_Emeryt_GEO" localSheetId="26">#REF!</definedName>
    <definedName name="FWT_MSR19_Aktywn_Emeryt_GEO" localSheetId="23">#REF!</definedName>
    <definedName name="FWT_MSR19_Aktywn_Emeryt_GEO" localSheetId="22">#REF!</definedName>
    <definedName name="FWT_MSR19_Aktywn_Emeryt_GEO" localSheetId="39">#REF!</definedName>
    <definedName name="FWT_MSR19_Aktywn_Emeryt_GEO" localSheetId="56">#REF!</definedName>
    <definedName name="FWT_MSR19_Aktywn_Emeryt_GEO" localSheetId="19">#REF!</definedName>
    <definedName name="FWT_MSR19_Aktywn_Emeryt_GEO">#REF!</definedName>
    <definedName name="FWT_MSR19_wartosc_biezaca_zobow" localSheetId="43">#REF!</definedName>
    <definedName name="FWT_MSR19_wartosc_biezaca_zobow" localSheetId="52">#REF!</definedName>
    <definedName name="FWT_MSR19_wartosc_biezaca_zobow" localSheetId="28">#REF!</definedName>
    <definedName name="FWT_MSR19_wartosc_biezaca_zobow" localSheetId="36">#REF!</definedName>
    <definedName name="FWT_MSR19_wartosc_biezaca_zobow" localSheetId="7">#REF!</definedName>
    <definedName name="FWT_MSR19_wartosc_biezaca_zobow" localSheetId="26">#REF!</definedName>
    <definedName name="FWT_MSR19_wartosc_biezaca_zobow" localSheetId="23">#REF!</definedName>
    <definedName name="FWT_MSR19_wartosc_biezaca_zobow" localSheetId="22">#REF!</definedName>
    <definedName name="FWT_MSR19_wartosc_biezaca_zobow" localSheetId="39">#REF!</definedName>
    <definedName name="FWT_MSR19_wartosc_biezaca_zobow" localSheetId="56">#REF!</definedName>
    <definedName name="FWT_MSR19_wartosc_biezaca_zobow" localSheetId="19">#REF!</definedName>
    <definedName name="FWT_MSR19_wartosc_biezaca_zobow">#REF!</definedName>
    <definedName name="FWT_MSR19_Wiekowanie" localSheetId="43">#REF!</definedName>
    <definedName name="FWT_MSR19_Wiekowanie" localSheetId="52">#REF!</definedName>
    <definedName name="FWT_MSR19_Wiekowanie" localSheetId="28">#REF!</definedName>
    <definedName name="FWT_MSR19_Wiekowanie" localSheetId="36">#REF!</definedName>
    <definedName name="FWT_MSR19_Wiekowanie" localSheetId="7">#REF!</definedName>
    <definedName name="FWT_MSR19_Wiekowanie" localSheetId="26">#REF!</definedName>
    <definedName name="FWT_MSR19_Wiekowanie" localSheetId="23">#REF!</definedName>
    <definedName name="FWT_MSR19_Wiekowanie" localSheetId="22">#REF!</definedName>
    <definedName name="FWT_MSR19_Wiekowanie" localSheetId="39">#REF!</definedName>
    <definedName name="FWT_MSR19_Wiekowanie" localSheetId="56">#REF!</definedName>
    <definedName name="FWT_MSR19_Wiekowanie" localSheetId="19">#REF!</definedName>
    <definedName name="FWT_MSR19_Wiekowanie">#REF!</definedName>
    <definedName name="FWT_RZiS" localSheetId="14">RZiS!$B$2:$B$45</definedName>
    <definedName name="FWT_RZiS" localSheetId="38">'RZiS''18'!$B$4:$B$50</definedName>
    <definedName name="FWT_RZiS" localSheetId="39">'RZiS''19-''24'!$B$4:$B$54</definedName>
    <definedName name="FWT_RZiS">'RZiS''13-''17'!$B$4:$Q$43</definedName>
    <definedName name="FWT_Swiadczenia_pracown_biez" localSheetId="43">#REF!</definedName>
    <definedName name="FWT_Swiadczenia_pracown_biez" localSheetId="52">#REF!</definedName>
    <definedName name="FWT_Swiadczenia_pracown_biez" localSheetId="28">#REF!</definedName>
    <definedName name="FWT_Swiadczenia_pracown_biez" localSheetId="36">#REF!</definedName>
    <definedName name="FWT_Swiadczenia_pracown_biez" localSheetId="7">#REF!</definedName>
    <definedName name="FWT_Swiadczenia_pracown_biez" localSheetId="26">#REF!</definedName>
    <definedName name="FWT_Swiadczenia_pracown_biez" localSheetId="23">#REF!</definedName>
    <definedName name="FWT_Swiadczenia_pracown_biez" localSheetId="22">#REF!</definedName>
    <definedName name="FWT_Swiadczenia_pracown_biez" localSheetId="39">#REF!</definedName>
    <definedName name="FWT_Swiadczenia_pracown_biez" localSheetId="56">#REF!</definedName>
    <definedName name="FWT_Swiadczenia_pracown_biez" localSheetId="19">#REF!</definedName>
    <definedName name="FWT_Swiadczenia_pracown_biez">#REF!</definedName>
    <definedName name="FWT_Swiadczenia_pracown_porow" localSheetId="43">#REF!</definedName>
    <definedName name="FWT_Swiadczenia_pracown_porow" localSheetId="52">#REF!</definedName>
    <definedName name="FWT_Swiadczenia_pracown_porow" localSheetId="28">#REF!</definedName>
    <definedName name="FWT_Swiadczenia_pracown_porow" localSheetId="36">#REF!</definedName>
    <definedName name="FWT_Swiadczenia_pracown_porow" localSheetId="7">#REF!</definedName>
    <definedName name="FWT_Swiadczenia_pracown_porow" localSheetId="26">#REF!</definedName>
    <definedName name="FWT_Swiadczenia_pracown_porow" localSheetId="23">#REF!</definedName>
    <definedName name="FWT_Swiadczenia_pracown_porow" localSheetId="22">#REF!</definedName>
    <definedName name="FWT_Swiadczenia_pracown_porow" localSheetId="39">#REF!</definedName>
    <definedName name="FWT_Swiadczenia_pracown_porow" localSheetId="56">#REF!</definedName>
    <definedName name="FWT_Swiadczenia_pracown_porow" localSheetId="19">#REF!</definedName>
    <definedName name="FWT_Swiadczenia_pracown_porow">#REF!</definedName>
    <definedName name="FWT_Wydobywczy" localSheetId="43">#REF!</definedName>
    <definedName name="FWT_Wydobywczy" localSheetId="52">#REF!</definedName>
    <definedName name="FWT_Wydobywczy" localSheetId="23">#REF!</definedName>
    <definedName name="FWT_Wydobywczy" localSheetId="22">#REF!</definedName>
    <definedName name="FWT_Wydobywczy" localSheetId="39">#REF!</definedName>
    <definedName name="FWT_Wydobywczy">#REF!</definedName>
    <definedName name="gbdn" localSheetId="43">#REF!</definedName>
    <definedName name="gbdn" localSheetId="52">#REF!</definedName>
    <definedName name="gbdn" localSheetId="28">#REF!</definedName>
    <definedName name="gbdn" localSheetId="36">#REF!</definedName>
    <definedName name="gbdn" localSheetId="7">#REF!</definedName>
    <definedName name="gbdn" localSheetId="26">#REF!</definedName>
    <definedName name="gbdn" localSheetId="23">#REF!</definedName>
    <definedName name="gbdn" localSheetId="22">#REF!</definedName>
    <definedName name="gbdn" localSheetId="39">#REF!</definedName>
    <definedName name="gbdn" localSheetId="56">#REF!</definedName>
    <definedName name="gbdn" localSheetId="19">#REF!</definedName>
    <definedName name="gbdn">#REF!</definedName>
    <definedName name="gs" localSheetId="15" hidden="1">{#N/A,#N/A,TRUE,"Nagłówek"}</definedName>
    <definedName name="gs" localSheetId="40" hidden="1">{#N/A,#N/A,TRUE,"Nagłówek"}</definedName>
    <definedName name="gs" localSheetId="41" hidden="1">{#N/A,#N/A,TRUE,"Nagłówek"}</definedName>
    <definedName name="gs" localSheetId="42" hidden="1">{#N/A,#N/A,TRUE,"Nagłówek"}</definedName>
    <definedName name="gs" localSheetId="43" hidden="1">{#N/A,#N/A,TRUE,"Nagłówek"}</definedName>
    <definedName name="gs" localSheetId="16" hidden="1">{#N/A,#N/A,TRUE,"Nagłówek"}</definedName>
    <definedName name="gs" localSheetId="44" hidden="1">{#N/A,#N/A,TRUE,"Nagłówek"}</definedName>
    <definedName name="gs" localSheetId="45" hidden="1">{#N/A,#N/A,TRUE,"Nagłówek"}</definedName>
    <definedName name="gs" localSheetId="46" hidden="1">{#N/A,#N/A,TRUE,"Nagłówek"}</definedName>
    <definedName name="gs" localSheetId="47" hidden="1">{#N/A,#N/A,TRUE,"Nagłówek"}</definedName>
    <definedName name="gs" localSheetId="48" hidden="1">{#N/A,#N/A,TRUE,"Nagłówek"}</definedName>
    <definedName name="gs" localSheetId="49" hidden="1">{#N/A,#N/A,TRUE,"Nagłówek"}</definedName>
    <definedName name="gs" localSheetId="50" hidden="1">{#N/A,#N/A,TRUE,"Nagłówek"}</definedName>
    <definedName name="gs" localSheetId="51" hidden="1">{#N/A,#N/A,TRUE,"Nagłówek"}</definedName>
    <definedName name="gs" localSheetId="52" hidden="1">{#N/A,#N/A,TRUE,"Nagłówek"}</definedName>
    <definedName name="gs" localSheetId="12" hidden="1">{#N/A,#N/A,TRUE,"Nagłówek"}</definedName>
    <definedName name="gs" localSheetId="13" hidden="1">{#N/A,#N/A,TRUE,"Nagłówek"}</definedName>
    <definedName name="gs" localSheetId="33" hidden="1">{#N/A,#N/A,TRUE,"Nagłówek"}</definedName>
    <definedName name="gs" localSheetId="10" hidden="1">{#N/A,#N/A,TRUE,"Nagłówek"}</definedName>
    <definedName name="gs" localSheetId="29" hidden="1">{#N/A,#N/A,TRUE,"Nagłówek"}</definedName>
    <definedName name="gs" localSheetId="32" hidden="1">{#N/A,#N/A,TRUE,"Nagłówek"}</definedName>
    <definedName name="gs" localSheetId="11" hidden="1">{#N/A,#N/A,TRUE,"Nagłówek"}</definedName>
    <definedName name="gs" localSheetId="36" hidden="1">{#N/A,#N/A,TRUE,"Nagłówek"}</definedName>
    <definedName name="gs" localSheetId="35" hidden="1">{#N/A,#N/A,TRUE,"Nagłówek"}</definedName>
    <definedName name="gs" localSheetId="7" hidden="1">{#N/A,#N/A,TRUE,"Nagłówek"}</definedName>
    <definedName name="gs" localSheetId="25" hidden="1">{#N/A,#N/A,TRUE,"Nagłówek"}</definedName>
    <definedName name="gs" localSheetId="26" hidden="1">{#N/A,#N/A,TRUE,"Nagłówek"}</definedName>
    <definedName name="gs" localSheetId="24" hidden="1">{#N/A,#N/A,TRUE,"Nagłówek"}</definedName>
    <definedName name="gs" localSheetId="31" hidden="1">{#N/A,#N/A,TRUE,"Nagłówek"}</definedName>
    <definedName name="gs" localSheetId="18" hidden="1">{#N/A,#N/A,TRUE,"Nagłówek"}</definedName>
    <definedName name="gs" localSheetId="54" hidden="1">{#N/A,#N/A,TRUE,"Nagłówek"}</definedName>
    <definedName name="gs" localSheetId="30" hidden="1">{#N/A,#N/A,TRUE,"Nagłówek"}</definedName>
    <definedName name="gs" localSheetId="14" hidden="1">{#N/A,#N/A,TRUE,"Nagłówek"}</definedName>
    <definedName name="gs" localSheetId="37" hidden="1">{#N/A,#N/A,TRUE,"Nagłówek"}</definedName>
    <definedName name="gs" localSheetId="38" hidden="1">{#N/A,#N/A,TRUE,"Nagłówek"}</definedName>
    <definedName name="gs" localSheetId="39" hidden="1">{#N/A,#N/A,TRUE,"Nagłówek"}</definedName>
    <definedName name="gs" localSheetId="19" hidden="1">{#N/A,#N/A,TRUE,"Nagłówek"}</definedName>
    <definedName name="gs" localSheetId="9" hidden="1">{#N/A,#N/A,TRUE,"Nagłówek"}</definedName>
    <definedName name="gs" localSheetId="34" hidden="1">{#N/A,#N/A,TRUE,"Nagłówek"}</definedName>
    <definedName name="gs" hidden="1">{#N/A,#N/A,TRUE,"Nagłówek"}</definedName>
    <definedName name="hkh" localSheetId="15" hidden="1">{#N/A,#N/A,TRUE,"Nagłówek"}</definedName>
    <definedName name="hkh" localSheetId="40" hidden="1">{#N/A,#N/A,TRUE,"Nagłówek"}</definedName>
    <definedName name="hkh" localSheetId="41" hidden="1">{#N/A,#N/A,TRUE,"Nagłówek"}</definedName>
    <definedName name="hkh" localSheetId="42" hidden="1">{#N/A,#N/A,TRUE,"Nagłówek"}</definedName>
    <definedName name="hkh" localSheetId="43" hidden="1">{#N/A,#N/A,TRUE,"Nagłówek"}</definedName>
    <definedName name="hkh" localSheetId="16" hidden="1">{#N/A,#N/A,TRUE,"Nagłówek"}</definedName>
    <definedName name="hkh" localSheetId="44" hidden="1">{#N/A,#N/A,TRUE,"Nagłówek"}</definedName>
    <definedName name="hkh" localSheetId="45" hidden="1">{#N/A,#N/A,TRUE,"Nagłówek"}</definedName>
    <definedName name="hkh" localSheetId="46" hidden="1">{#N/A,#N/A,TRUE,"Nagłówek"}</definedName>
    <definedName name="hkh" localSheetId="47" hidden="1">{#N/A,#N/A,TRUE,"Nagłówek"}</definedName>
    <definedName name="hkh" localSheetId="48" hidden="1">{#N/A,#N/A,TRUE,"Nagłówek"}</definedName>
    <definedName name="hkh" localSheetId="49" hidden="1">{#N/A,#N/A,TRUE,"Nagłówek"}</definedName>
    <definedName name="hkh" localSheetId="50" hidden="1">{#N/A,#N/A,TRUE,"Nagłówek"}</definedName>
    <definedName name="hkh" localSheetId="51" hidden="1">{#N/A,#N/A,TRUE,"Nagłówek"}</definedName>
    <definedName name="hkh" localSheetId="52" hidden="1">{#N/A,#N/A,TRUE,"Nagłówek"}</definedName>
    <definedName name="hkh" localSheetId="12" hidden="1">{#N/A,#N/A,TRUE,"Nagłówek"}</definedName>
    <definedName name="hkh" localSheetId="13" hidden="1">{#N/A,#N/A,TRUE,"Nagłówek"}</definedName>
    <definedName name="hkh" localSheetId="33" hidden="1">{#N/A,#N/A,TRUE,"Nagłówek"}</definedName>
    <definedName name="hkh" localSheetId="10" hidden="1">{#N/A,#N/A,TRUE,"Nagłówek"}</definedName>
    <definedName name="hkh" localSheetId="29" hidden="1">{#N/A,#N/A,TRUE,"Nagłówek"}</definedName>
    <definedName name="hkh" localSheetId="32" hidden="1">{#N/A,#N/A,TRUE,"Nagłówek"}</definedName>
    <definedName name="hkh" localSheetId="11" hidden="1">{#N/A,#N/A,TRUE,"Nagłówek"}</definedName>
    <definedName name="hkh" localSheetId="36" hidden="1">{#N/A,#N/A,TRUE,"Nagłówek"}</definedName>
    <definedName name="hkh" localSheetId="35" hidden="1">{#N/A,#N/A,TRUE,"Nagłówek"}</definedName>
    <definedName name="hkh" localSheetId="7" hidden="1">{#N/A,#N/A,TRUE,"Nagłówek"}</definedName>
    <definedName name="hkh" localSheetId="25" hidden="1">{#N/A,#N/A,TRUE,"Nagłówek"}</definedName>
    <definedName name="hkh" localSheetId="26" hidden="1">{#N/A,#N/A,TRUE,"Nagłówek"}</definedName>
    <definedName name="hkh" localSheetId="24" hidden="1">{#N/A,#N/A,TRUE,"Nagłówek"}</definedName>
    <definedName name="hkh" localSheetId="31" hidden="1">{#N/A,#N/A,TRUE,"Nagłówek"}</definedName>
    <definedName name="hkh" localSheetId="18" hidden="1">{#N/A,#N/A,TRUE,"Nagłówek"}</definedName>
    <definedName name="hkh" localSheetId="54" hidden="1">{#N/A,#N/A,TRUE,"Nagłówek"}</definedName>
    <definedName name="hkh" localSheetId="30" hidden="1">{#N/A,#N/A,TRUE,"Nagłówek"}</definedName>
    <definedName name="hkh" localSheetId="14" hidden="1">{#N/A,#N/A,TRUE,"Nagłówek"}</definedName>
    <definedName name="hkh" localSheetId="37" hidden="1">{#N/A,#N/A,TRUE,"Nagłówek"}</definedName>
    <definedName name="hkh" localSheetId="38" hidden="1">{#N/A,#N/A,TRUE,"Nagłówek"}</definedName>
    <definedName name="hkh" localSheetId="39" hidden="1">{#N/A,#N/A,TRUE,"Nagłówek"}</definedName>
    <definedName name="hkh" localSheetId="19" hidden="1">{#N/A,#N/A,TRUE,"Nagłówek"}</definedName>
    <definedName name="hkh" localSheetId="9" hidden="1">{#N/A,#N/A,TRUE,"Nagłówek"}</definedName>
    <definedName name="hkh" localSheetId="34" hidden="1">{#N/A,#N/A,TRUE,"Nagłówek"}</definedName>
    <definedName name="hkh" hidden="1">{#N/A,#N/A,TRUE,"Nagłówek"}</definedName>
    <definedName name="hs" localSheetId="15" hidden="1">{#N/A,#N/A,FALSE,"DCF";#N/A,#N/A,FALSE,"GM";#N/A,#N/A,FALSE,"Prices-Delvd";#N/A,#N/A,FALSE,"Vol";#N/A,#N/A,FALSE,"VolB_D"}</definedName>
    <definedName name="hs" localSheetId="40" hidden="1">{#N/A,#N/A,FALSE,"DCF";#N/A,#N/A,FALSE,"GM";#N/A,#N/A,FALSE,"Prices-Delvd";#N/A,#N/A,FALSE,"Vol";#N/A,#N/A,FALSE,"VolB_D"}</definedName>
    <definedName name="hs" localSheetId="41" hidden="1">{#N/A,#N/A,FALSE,"DCF";#N/A,#N/A,FALSE,"GM";#N/A,#N/A,FALSE,"Prices-Delvd";#N/A,#N/A,FALSE,"Vol";#N/A,#N/A,FALSE,"VolB_D"}</definedName>
    <definedName name="hs" localSheetId="42" hidden="1">{#N/A,#N/A,FALSE,"DCF";#N/A,#N/A,FALSE,"GM";#N/A,#N/A,FALSE,"Prices-Delvd";#N/A,#N/A,FALSE,"Vol";#N/A,#N/A,FALSE,"VolB_D"}</definedName>
    <definedName name="hs" localSheetId="43" hidden="1">{#N/A,#N/A,FALSE,"DCF";#N/A,#N/A,FALSE,"GM";#N/A,#N/A,FALSE,"Prices-Delvd";#N/A,#N/A,FALSE,"Vol";#N/A,#N/A,FALSE,"VolB_D"}</definedName>
    <definedName name="hs" localSheetId="16" hidden="1">{#N/A,#N/A,FALSE,"DCF";#N/A,#N/A,FALSE,"GM";#N/A,#N/A,FALSE,"Prices-Delvd";#N/A,#N/A,FALSE,"Vol";#N/A,#N/A,FALSE,"VolB_D"}</definedName>
    <definedName name="hs" localSheetId="44" hidden="1">{#N/A,#N/A,FALSE,"DCF";#N/A,#N/A,FALSE,"GM";#N/A,#N/A,FALSE,"Prices-Delvd";#N/A,#N/A,FALSE,"Vol";#N/A,#N/A,FALSE,"VolB_D"}</definedName>
    <definedName name="hs" localSheetId="45" hidden="1">{#N/A,#N/A,FALSE,"DCF";#N/A,#N/A,FALSE,"GM";#N/A,#N/A,FALSE,"Prices-Delvd";#N/A,#N/A,FALSE,"Vol";#N/A,#N/A,FALSE,"VolB_D"}</definedName>
    <definedName name="hs" localSheetId="46" hidden="1">{#N/A,#N/A,FALSE,"DCF";#N/A,#N/A,FALSE,"GM";#N/A,#N/A,FALSE,"Prices-Delvd";#N/A,#N/A,FALSE,"Vol";#N/A,#N/A,FALSE,"VolB_D"}</definedName>
    <definedName name="hs" localSheetId="47" hidden="1">{#N/A,#N/A,FALSE,"DCF";#N/A,#N/A,FALSE,"GM";#N/A,#N/A,FALSE,"Prices-Delvd";#N/A,#N/A,FALSE,"Vol";#N/A,#N/A,FALSE,"VolB_D"}</definedName>
    <definedName name="hs" localSheetId="48" hidden="1">{#N/A,#N/A,FALSE,"DCF";#N/A,#N/A,FALSE,"GM";#N/A,#N/A,FALSE,"Prices-Delvd";#N/A,#N/A,FALSE,"Vol";#N/A,#N/A,FALSE,"VolB_D"}</definedName>
    <definedName name="hs" localSheetId="49" hidden="1">{#N/A,#N/A,FALSE,"DCF";#N/A,#N/A,FALSE,"GM";#N/A,#N/A,FALSE,"Prices-Delvd";#N/A,#N/A,FALSE,"Vol";#N/A,#N/A,FALSE,"VolB_D"}</definedName>
    <definedName name="hs" localSheetId="50" hidden="1">{#N/A,#N/A,FALSE,"DCF";#N/A,#N/A,FALSE,"GM";#N/A,#N/A,FALSE,"Prices-Delvd";#N/A,#N/A,FALSE,"Vol";#N/A,#N/A,FALSE,"VolB_D"}</definedName>
    <definedName name="hs" localSheetId="51" hidden="1">{#N/A,#N/A,FALSE,"DCF";#N/A,#N/A,FALSE,"GM";#N/A,#N/A,FALSE,"Prices-Delvd";#N/A,#N/A,FALSE,"Vol";#N/A,#N/A,FALSE,"VolB_D"}</definedName>
    <definedName name="hs" localSheetId="52" hidden="1">{#N/A,#N/A,FALSE,"DCF";#N/A,#N/A,FALSE,"GM";#N/A,#N/A,FALSE,"Prices-Delvd";#N/A,#N/A,FALSE,"Vol";#N/A,#N/A,FALSE,"VolB_D"}</definedName>
    <definedName name="hs" localSheetId="12" hidden="1">{#N/A,#N/A,FALSE,"DCF";#N/A,#N/A,FALSE,"GM";#N/A,#N/A,FALSE,"Prices-Delvd";#N/A,#N/A,FALSE,"Vol";#N/A,#N/A,FALSE,"VolB_D"}</definedName>
    <definedName name="hs" localSheetId="13" hidden="1">{#N/A,#N/A,FALSE,"DCF";#N/A,#N/A,FALSE,"GM";#N/A,#N/A,FALSE,"Prices-Delvd";#N/A,#N/A,FALSE,"Vol";#N/A,#N/A,FALSE,"VolB_D"}</definedName>
    <definedName name="hs" localSheetId="33" hidden="1">{#N/A,#N/A,FALSE,"DCF";#N/A,#N/A,FALSE,"GM";#N/A,#N/A,FALSE,"Prices-Delvd";#N/A,#N/A,FALSE,"Vol";#N/A,#N/A,FALSE,"VolB_D"}</definedName>
    <definedName name="hs" localSheetId="10" hidden="1">{#N/A,#N/A,FALSE,"DCF";#N/A,#N/A,FALSE,"GM";#N/A,#N/A,FALSE,"Prices-Delvd";#N/A,#N/A,FALSE,"Vol";#N/A,#N/A,FALSE,"VolB_D"}</definedName>
    <definedName name="hs" localSheetId="29" hidden="1">{#N/A,#N/A,FALSE,"DCF";#N/A,#N/A,FALSE,"GM";#N/A,#N/A,FALSE,"Prices-Delvd";#N/A,#N/A,FALSE,"Vol";#N/A,#N/A,FALSE,"VolB_D"}</definedName>
    <definedName name="hs" localSheetId="32" hidden="1">{#N/A,#N/A,FALSE,"DCF";#N/A,#N/A,FALSE,"GM";#N/A,#N/A,FALSE,"Prices-Delvd";#N/A,#N/A,FALSE,"Vol";#N/A,#N/A,FALSE,"VolB_D"}</definedName>
    <definedName name="hs" localSheetId="11" hidden="1">{#N/A,#N/A,FALSE,"DCF";#N/A,#N/A,FALSE,"GM";#N/A,#N/A,FALSE,"Prices-Delvd";#N/A,#N/A,FALSE,"Vol";#N/A,#N/A,FALSE,"VolB_D"}</definedName>
    <definedName name="hs" localSheetId="36" hidden="1">{#N/A,#N/A,FALSE,"DCF";#N/A,#N/A,FALSE,"GM";#N/A,#N/A,FALSE,"Prices-Delvd";#N/A,#N/A,FALSE,"Vol";#N/A,#N/A,FALSE,"VolB_D"}</definedName>
    <definedName name="hs" localSheetId="35" hidden="1">{#N/A,#N/A,FALSE,"DCF";#N/A,#N/A,FALSE,"GM";#N/A,#N/A,FALSE,"Prices-Delvd";#N/A,#N/A,FALSE,"Vol";#N/A,#N/A,FALSE,"VolB_D"}</definedName>
    <definedName name="hs" localSheetId="7" hidden="1">{#N/A,#N/A,FALSE,"DCF";#N/A,#N/A,FALSE,"GM";#N/A,#N/A,FALSE,"Prices-Delvd";#N/A,#N/A,FALSE,"Vol";#N/A,#N/A,FALSE,"VolB_D"}</definedName>
    <definedName name="hs" localSheetId="25" hidden="1">{#N/A,#N/A,FALSE,"DCF";#N/A,#N/A,FALSE,"GM";#N/A,#N/A,FALSE,"Prices-Delvd";#N/A,#N/A,FALSE,"Vol";#N/A,#N/A,FALSE,"VolB_D"}</definedName>
    <definedName name="hs" localSheetId="26" hidden="1">{#N/A,#N/A,FALSE,"DCF";#N/A,#N/A,FALSE,"GM";#N/A,#N/A,FALSE,"Prices-Delvd";#N/A,#N/A,FALSE,"Vol";#N/A,#N/A,FALSE,"VolB_D"}</definedName>
    <definedName name="hs" localSheetId="24" hidden="1">{#N/A,#N/A,FALSE,"DCF";#N/A,#N/A,FALSE,"GM";#N/A,#N/A,FALSE,"Prices-Delvd";#N/A,#N/A,FALSE,"Vol";#N/A,#N/A,FALSE,"VolB_D"}</definedName>
    <definedName name="hs" localSheetId="31" hidden="1">{#N/A,#N/A,FALSE,"DCF";#N/A,#N/A,FALSE,"GM";#N/A,#N/A,FALSE,"Prices-Delvd";#N/A,#N/A,FALSE,"Vol";#N/A,#N/A,FALSE,"VolB_D"}</definedName>
    <definedName name="hs" localSheetId="18" hidden="1">{#N/A,#N/A,FALSE,"DCF";#N/A,#N/A,FALSE,"GM";#N/A,#N/A,FALSE,"Prices-Delvd";#N/A,#N/A,FALSE,"Vol";#N/A,#N/A,FALSE,"VolB_D"}</definedName>
    <definedName name="hs" localSheetId="54" hidden="1">{#N/A,#N/A,FALSE,"DCF";#N/A,#N/A,FALSE,"GM";#N/A,#N/A,FALSE,"Prices-Delvd";#N/A,#N/A,FALSE,"Vol";#N/A,#N/A,FALSE,"VolB_D"}</definedName>
    <definedName name="hs" localSheetId="30" hidden="1">{#N/A,#N/A,FALSE,"DCF";#N/A,#N/A,FALSE,"GM";#N/A,#N/A,FALSE,"Prices-Delvd";#N/A,#N/A,FALSE,"Vol";#N/A,#N/A,FALSE,"VolB_D"}</definedName>
    <definedName name="hs" localSheetId="14" hidden="1">{#N/A,#N/A,FALSE,"DCF";#N/A,#N/A,FALSE,"GM";#N/A,#N/A,FALSE,"Prices-Delvd";#N/A,#N/A,FALSE,"Vol";#N/A,#N/A,FALSE,"VolB_D"}</definedName>
    <definedName name="hs" localSheetId="37" hidden="1">{#N/A,#N/A,FALSE,"DCF";#N/A,#N/A,FALSE,"GM";#N/A,#N/A,FALSE,"Prices-Delvd";#N/A,#N/A,FALSE,"Vol";#N/A,#N/A,FALSE,"VolB_D"}</definedName>
    <definedName name="hs" localSheetId="38" hidden="1">{#N/A,#N/A,FALSE,"DCF";#N/A,#N/A,FALSE,"GM";#N/A,#N/A,FALSE,"Prices-Delvd";#N/A,#N/A,FALSE,"Vol";#N/A,#N/A,FALSE,"VolB_D"}</definedName>
    <definedName name="hs" localSheetId="39" hidden="1">{#N/A,#N/A,FALSE,"DCF";#N/A,#N/A,FALSE,"GM";#N/A,#N/A,FALSE,"Prices-Delvd";#N/A,#N/A,FALSE,"Vol";#N/A,#N/A,FALSE,"VolB_D"}</definedName>
    <definedName name="hs" localSheetId="19" hidden="1">{#N/A,#N/A,FALSE,"DCF";#N/A,#N/A,FALSE,"GM";#N/A,#N/A,FALSE,"Prices-Delvd";#N/A,#N/A,FALSE,"Vol";#N/A,#N/A,FALSE,"VolB_D"}</definedName>
    <definedName name="hs" localSheetId="9" hidden="1">{#N/A,#N/A,FALSE,"DCF";#N/A,#N/A,FALSE,"GM";#N/A,#N/A,FALSE,"Prices-Delvd";#N/A,#N/A,FALSE,"Vol";#N/A,#N/A,FALSE,"VolB_D"}</definedName>
    <definedName name="hs" localSheetId="34" hidden="1">{#N/A,#N/A,FALSE,"DCF";#N/A,#N/A,FALSE,"GM";#N/A,#N/A,FALSE,"Prices-Delvd";#N/A,#N/A,FALSE,"Vol";#N/A,#N/A,FALSE,"VolB_D"}</definedName>
    <definedName name="hs" hidden="1">{#N/A,#N/A,FALSE,"DCF";#N/A,#N/A,FALSE,"GM";#N/A,#N/A,FALSE,"Prices-Delvd";#N/A,#N/A,FALSE,"Vol";#N/A,#N/A,FALSE,"VolB_D"}</definedName>
    <definedName name="hurt_detal" localSheetId="15" hidden="1">{#N/A,#N/A,TRUE,"Nagłówek"}</definedName>
    <definedName name="hurt_detal" localSheetId="40" hidden="1">{#N/A,#N/A,TRUE,"Nagłówek"}</definedName>
    <definedName name="hurt_detal" localSheetId="41" hidden="1">{#N/A,#N/A,TRUE,"Nagłówek"}</definedName>
    <definedName name="hurt_detal" localSheetId="42" hidden="1">{#N/A,#N/A,TRUE,"Nagłówek"}</definedName>
    <definedName name="hurt_detal" localSheetId="43" hidden="1">{#N/A,#N/A,TRUE,"Nagłówek"}</definedName>
    <definedName name="hurt_detal" localSheetId="16" hidden="1">{#N/A,#N/A,TRUE,"Nagłówek"}</definedName>
    <definedName name="hurt_detal" localSheetId="44" hidden="1">{#N/A,#N/A,TRUE,"Nagłówek"}</definedName>
    <definedName name="hurt_detal" localSheetId="45" hidden="1">{#N/A,#N/A,TRUE,"Nagłówek"}</definedName>
    <definedName name="hurt_detal" localSheetId="46" hidden="1">{#N/A,#N/A,TRUE,"Nagłówek"}</definedName>
    <definedName name="hurt_detal" localSheetId="47" hidden="1">{#N/A,#N/A,TRUE,"Nagłówek"}</definedName>
    <definedName name="hurt_detal" localSheetId="48" hidden="1">{#N/A,#N/A,TRUE,"Nagłówek"}</definedName>
    <definedName name="hurt_detal" localSheetId="49" hidden="1">{#N/A,#N/A,TRUE,"Nagłówek"}</definedName>
    <definedName name="hurt_detal" localSheetId="50" hidden="1">{#N/A,#N/A,TRUE,"Nagłówek"}</definedName>
    <definedName name="hurt_detal" localSheetId="51" hidden="1">{#N/A,#N/A,TRUE,"Nagłówek"}</definedName>
    <definedName name="hurt_detal" localSheetId="52" hidden="1">{#N/A,#N/A,TRUE,"Nagłówek"}</definedName>
    <definedName name="hurt_detal" localSheetId="12" hidden="1">{#N/A,#N/A,TRUE,"Nagłówek"}</definedName>
    <definedName name="hurt_detal" localSheetId="13" hidden="1">{#N/A,#N/A,TRUE,"Nagłówek"}</definedName>
    <definedName name="hurt_detal" localSheetId="33" hidden="1">{#N/A,#N/A,TRUE,"Nagłówek"}</definedName>
    <definedName name="hurt_detal" localSheetId="10" hidden="1">{#N/A,#N/A,TRUE,"Nagłówek"}</definedName>
    <definedName name="hurt_detal" localSheetId="29" hidden="1">{#N/A,#N/A,TRUE,"Nagłówek"}</definedName>
    <definedName name="hurt_detal" localSheetId="32" hidden="1">{#N/A,#N/A,TRUE,"Nagłówek"}</definedName>
    <definedName name="hurt_detal" localSheetId="11" hidden="1">{#N/A,#N/A,TRUE,"Nagłówek"}</definedName>
    <definedName name="hurt_detal" localSheetId="36" hidden="1">{#N/A,#N/A,TRUE,"Nagłówek"}</definedName>
    <definedName name="hurt_detal" localSheetId="35" hidden="1">{#N/A,#N/A,TRUE,"Nagłówek"}</definedName>
    <definedName name="hurt_detal" localSheetId="7" hidden="1">{#N/A,#N/A,TRUE,"Nagłówek"}</definedName>
    <definedName name="hurt_detal" localSheetId="25" hidden="1">{#N/A,#N/A,TRUE,"Nagłówek"}</definedName>
    <definedName name="hurt_detal" localSheetId="26" hidden="1">{#N/A,#N/A,TRUE,"Nagłówek"}</definedName>
    <definedName name="hurt_detal" localSheetId="24" hidden="1">{#N/A,#N/A,TRUE,"Nagłówek"}</definedName>
    <definedName name="hurt_detal" localSheetId="31" hidden="1">{#N/A,#N/A,TRUE,"Nagłówek"}</definedName>
    <definedName name="hurt_detal" localSheetId="18" hidden="1">{#N/A,#N/A,TRUE,"Nagłówek"}</definedName>
    <definedName name="hurt_detal" localSheetId="54" hidden="1">{#N/A,#N/A,TRUE,"Nagłówek"}</definedName>
    <definedName name="hurt_detal" localSheetId="30" hidden="1">{#N/A,#N/A,TRUE,"Nagłówek"}</definedName>
    <definedName name="hurt_detal" localSheetId="14" hidden="1">{#N/A,#N/A,TRUE,"Nagłówek"}</definedName>
    <definedName name="hurt_detal" localSheetId="37" hidden="1">{#N/A,#N/A,TRUE,"Nagłówek"}</definedName>
    <definedName name="hurt_detal" localSheetId="38" hidden="1">{#N/A,#N/A,TRUE,"Nagłówek"}</definedName>
    <definedName name="hurt_detal" localSheetId="39" hidden="1">{#N/A,#N/A,TRUE,"Nagłówek"}</definedName>
    <definedName name="hurt_detal" localSheetId="19" hidden="1">{#N/A,#N/A,TRUE,"Nagłówek"}</definedName>
    <definedName name="hurt_detal" localSheetId="9" hidden="1">{#N/A,#N/A,TRUE,"Nagłówek"}</definedName>
    <definedName name="hurt_detal" localSheetId="34" hidden="1">{#N/A,#N/A,TRUE,"Nagłówek"}</definedName>
    <definedName name="hurt_detal" hidden="1">{#N/A,#N/A,TRUE,"Nagłówek"}</definedName>
    <definedName name="ias">[6]ster!$B$12</definedName>
    <definedName name="IASkorekty" localSheetId="43">#REF!</definedName>
    <definedName name="IASkorekty" localSheetId="52">#REF!</definedName>
    <definedName name="IASkorekty" localSheetId="28">#REF!</definedName>
    <definedName name="IASkorekty" localSheetId="36">#REF!</definedName>
    <definedName name="IASkorekty" localSheetId="7">#REF!</definedName>
    <definedName name="IASkorekty" localSheetId="26">#REF!</definedName>
    <definedName name="IASkorekty" localSheetId="23">#REF!</definedName>
    <definedName name="IASkorekty" localSheetId="22">#REF!</definedName>
    <definedName name="IASkorekty" localSheetId="39">#REF!</definedName>
    <definedName name="IASkorekty" localSheetId="56">#REF!</definedName>
    <definedName name="IASkorekty" localSheetId="19">#REF!</definedName>
    <definedName name="IASkorekty">#REF!</definedName>
    <definedName name="kapit" localSheetId="15" hidden="1">{#N/A,#N/A,TRUE,"Nagłówek"}</definedName>
    <definedName name="kapit" localSheetId="40" hidden="1">{#N/A,#N/A,TRUE,"Nagłówek"}</definedName>
    <definedName name="kapit" localSheetId="41" hidden="1">{#N/A,#N/A,TRUE,"Nagłówek"}</definedName>
    <definedName name="kapit" localSheetId="42" hidden="1">{#N/A,#N/A,TRUE,"Nagłówek"}</definedName>
    <definedName name="kapit" localSheetId="43" hidden="1">{#N/A,#N/A,TRUE,"Nagłówek"}</definedName>
    <definedName name="kapit" localSheetId="16" hidden="1">{#N/A,#N/A,TRUE,"Nagłówek"}</definedName>
    <definedName name="kapit" localSheetId="44" hidden="1">{#N/A,#N/A,TRUE,"Nagłówek"}</definedName>
    <definedName name="kapit" localSheetId="45" hidden="1">{#N/A,#N/A,TRUE,"Nagłówek"}</definedName>
    <definedName name="kapit" localSheetId="46" hidden="1">{#N/A,#N/A,TRUE,"Nagłówek"}</definedName>
    <definedName name="kapit" localSheetId="47" hidden="1">{#N/A,#N/A,TRUE,"Nagłówek"}</definedName>
    <definedName name="kapit" localSheetId="48" hidden="1">{#N/A,#N/A,TRUE,"Nagłówek"}</definedName>
    <definedName name="kapit" localSheetId="49" hidden="1">{#N/A,#N/A,TRUE,"Nagłówek"}</definedName>
    <definedName name="kapit" localSheetId="50" hidden="1">{#N/A,#N/A,TRUE,"Nagłówek"}</definedName>
    <definedName name="kapit" localSheetId="51" hidden="1">{#N/A,#N/A,TRUE,"Nagłówek"}</definedName>
    <definedName name="kapit" localSheetId="52" hidden="1">{#N/A,#N/A,TRUE,"Nagłówek"}</definedName>
    <definedName name="kapit" localSheetId="12" hidden="1">{#N/A,#N/A,TRUE,"Nagłówek"}</definedName>
    <definedName name="kapit" localSheetId="13" hidden="1">{#N/A,#N/A,TRUE,"Nagłówek"}</definedName>
    <definedName name="kapit" localSheetId="33" hidden="1">{#N/A,#N/A,TRUE,"Nagłówek"}</definedName>
    <definedName name="kapit" localSheetId="10" hidden="1">{#N/A,#N/A,TRUE,"Nagłówek"}</definedName>
    <definedName name="kapit" localSheetId="29" hidden="1">{#N/A,#N/A,TRUE,"Nagłówek"}</definedName>
    <definedName name="kapit" localSheetId="32" hidden="1">{#N/A,#N/A,TRUE,"Nagłówek"}</definedName>
    <definedName name="kapit" localSheetId="11" hidden="1">{#N/A,#N/A,TRUE,"Nagłówek"}</definedName>
    <definedName name="kapit" localSheetId="36" hidden="1">{#N/A,#N/A,TRUE,"Nagłówek"}</definedName>
    <definedName name="kapit" localSheetId="35" hidden="1">{#N/A,#N/A,TRUE,"Nagłówek"}</definedName>
    <definedName name="kapit" localSheetId="7" hidden="1">{#N/A,#N/A,TRUE,"Nagłówek"}</definedName>
    <definedName name="kapit" localSheetId="25" hidden="1">{#N/A,#N/A,TRUE,"Nagłówek"}</definedName>
    <definedName name="kapit" localSheetId="26" hidden="1">{#N/A,#N/A,TRUE,"Nagłówek"}</definedName>
    <definedName name="kapit" localSheetId="24" hidden="1">{#N/A,#N/A,TRUE,"Nagłówek"}</definedName>
    <definedName name="kapit" localSheetId="31" hidden="1">{#N/A,#N/A,TRUE,"Nagłówek"}</definedName>
    <definedName name="kapit" localSheetId="18" hidden="1">{#N/A,#N/A,TRUE,"Nagłówek"}</definedName>
    <definedName name="kapit" localSheetId="54" hidden="1">{#N/A,#N/A,TRUE,"Nagłówek"}</definedName>
    <definedName name="kapit" localSheetId="30" hidden="1">{#N/A,#N/A,TRUE,"Nagłówek"}</definedName>
    <definedName name="kapit" localSheetId="14" hidden="1">{#N/A,#N/A,TRUE,"Nagłówek"}</definedName>
    <definedName name="kapit" localSheetId="37" hidden="1">{#N/A,#N/A,TRUE,"Nagłówek"}</definedName>
    <definedName name="kapit" localSheetId="38" hidden="1">{#N/A,#N/A,TRUE,"Nagłówek"}</definedName>
    <definedName name="kapit" localSheetId="39" hidden="1">{#N/A,#N/A,TRUE,"Nagłówek"}</definedName>
    <definedName name="kapit" localSheetId="19" hidden="1">{#N/A,#N/A,TRUE,"Nagłówek"}</definedName>
    <definedName name="kapit" localSheetId="9" hidden="1">{#N/A,#N/A,TRUE,"Nagłówek"}</definedName>
    <definedName name="kapit" localSheetId="34" hidden="1">{#N/A,#N/A,TRUE,"Nagłówek"}</definedName>
    <definedName name="kapit" hidden="1">{#N/A,#N/A,TRUE,"Nagłówek"}</definedName>
    <definedName name="kokresu" localSheetId="43">[7]ster!#REF!</definedName>
    <definedName name="kokresu" localSheetId="52">[7]ster!#REF!</definedName>
    <definedName name="kokresu" localSheetId="28">[7]ster!#REF!</definedName>
    <definedName name="kokresu" localSheetId="7">[7]ster!#REF!</definedName>
    <definedName name="kokresu" localSheetId="26">[7]ster!#REF!</definedName>
    <definedName name="kokresu" localSheetId="23">[7]ster!#REF!</definedName>
    <definedName name="kokresu" localSheetId="22">[7]ster!#REF!</definedName>
    <definedName name="kokresu" localSheetId="39">[7]ster!#REF!</definedName>
    <definedName name="kokresu" localSheetId="56">[7]ster!#REF!</definedName>
    <definedName name="kokresu" localSheetId="19">[7]ster!#REF!</definedName>
    <definedName name="kokresu">[7]ster!#REF!</definedName>
    <definedName name="kokresu1" localSheetId="43">[8]ster!#REF!</definedName>
    <definedName name="kokresu1" localSheetId="52">[8]ster!#REF!</definedName>
    <definedName name="kokresu1" localSheetId="28">[8]ster!#REF!</definedName>
    <definedName name="kokresu1" localSheetId="7">[8]ster!#REF!</definedName>
    <definedName name="kokresu1" localSheetId="26">[8]ster!#REF!</definedName>
    <definedName name="kokresu1" localSheetId="23">[8]ster!#REF!</definedName>
    <definedName name="kokresu1" localSheetId="22">[8]ster!#REF!</definedName>
    <definedName name="kokresu1" localSheetId="39">[8]ster!#REF!</definedName>
    <definedName name="kokresu1" localSheetId="56">[8]ster!#REF!</definedName>
    <definedName name="kokresu1" localSheetId="19">[8]ster!#REF!</definedName>
    <definedName name="kokresu1">[8]ster!#REF!</definedName>
    <definedName name="KONTYNUACJA">[9]OPIS!$C$8</definedName>
    <definedName name="l">[10]Árfolyamadatok!$E$412:$E$473</definedName>
    <definedName name="lip" localSheetId="15" hidden="1">{#N/A,#N/A,TRUE,"Nagłówek"}</definedName>
    <definedName name="lip" localSheetId="40" hidden="1">{#N/A,#N/A,TRUE,"Nagłówek"}</definedName>
    <definedName name="lip" localSheetId="41" hidden="1">{#N/A,#N/A,TRUE,"Nagłówek"}</definedName>
    <definedName name="lip" localSheetId="42" hidden="1">{#N/A,#N/A,TRUE,"Nagłówek"}</definedName>
    <definedName name="lip" localSheetId="43" hidden="1">{#N/A,#N/A,TRUE,"Nagłówek"}</definedName>
    <definedName name="lip" localSheetId="16" hidden="1">{#N/A,#N/A,TRUE,"Nagłówek"}</definedName>
    <definedName name="lip" localSheetId="44" hidden="1">{#N/A,#N/A,TRUE,"Nagłówek"}</definedName>
    <definedName name="lip" localSheetId="45" hidden="1">{#N/A,#N/A,TRUE,"Nagłówek"}</definedName>
    <definedName name="lip" localSheetId="46" hidden="1">{#N/A,#N/A,TRUE,"Nagłówek"}</definedName>
    <definedName name="lip" localSheetId="47" hidden="1">{#N/A,#N/A,TRUE,"Nagłówek"}</definedName>
    <definedName name="lip" localSheetId="48" hidden="1">{#N/A,#N/A,TRUE,"Nagłówek"}</definedName>
    <definedName name="lip" localSheetId="49" hidden="1">{#N/A,#N/A,TRUE,"Nagłówek"}</definedName>
    <definedName name="lip" localSheetId="50" hidden="1">{#N/A,#N/A,TRUE,"Nagłówek"}</definedName>
    <definedName name="lip" localSheetId="51" hidden="1">{#N/A,#N/A,TRUE,"Nagłówek"}</definedName>
    <definedName name="lip" localSheetId="52" hidden="1">{#N/A,#N/A,TRUE,"Nagłówek"}</definedName>
    <definedName name="lip" localSheetId="12" hidden="1">{#N/A,#N/A,TRUE,"Nagłówek"}</definedName>
    <definedName name="lip" localSheetId="13" hidden="1">{#N/A,#N/A,TRUE,"Nagłówek"}</definedName>
    <definedName name="lip" localSheetId="33" hidden="1">{#N/A,#N/A,TRUE,"Nagłówek"}</definedName>
    <definedName name="lip" localSheetId="10" hidden="1">{#N/A,#N/A,TRUE,"Nagłówek"}</definedName>
    <definedName name="lip" localSheetId="29" hidden="1">{#N/A,#N/A,TRUE,"Nagłówek"}</definedName>
    <definedName name="lip" localSheetId="32" hidden="1">{#N/A,#N/A,TRUE,"Nagłówek"}</definedName>
    <definedName name="lip" localSheetId="11" hidden="1">{#N/A,#N/A,TRUE,"Nagłówek"}</definedName>
    <definedName name="lip" localSheetId="36" hidden="1">{#N/A,#N/A,TRUE,"Nagłówek"}</definedName>
    <definedName name="lip" localSheetId="35" hidden="1">{#N/A,#N/A,TRUE,"Nagłówek"}</definedName>
    <definedName name="lip" localSheetId="7" hidden="1">{#N/A,#N/A,TRUE,"Nagłówek"}</definedName>
    <definedName name="lip" localSheetId="25" hidden="1">{#N/A,#N/A,TRUE,"Nagłówek"}</definedName>
    <definedName name="lip" localSheetId="26" hidden="1">{#N/A,#N/A,TRUE,"Nagłówek"}</definedName>
    <definedName name="lip" localSheetId="24" hidden="1">{#N/A,#N/A,TRUE,"Nagłówek"}</definedName>
    <definedName name="lip" localSheetId="31" hidden="1">{#N/A,#N/A,TRUE,"Nagłówek"}</definedName>
    <definedName name="lip" localSheetId="18" hidden="1">{#N/A,#N/A,TRUE,"Nagłówek"}</definedName>
    <definedName name="lip" localSheetId="54" hidden="1">{#N/A,#N/A,TRUE,"Nagłówek"}</definedName>
    <definedName name="lip" localSheetId="30" hidden="1">{#N/A,#N/A,TRUE,"Nagłówek"}</definedName>
    <definedName name="lip" localSheetId="14" hidden="1">{#N/A,#N/A,TRUE,"Nagłówek"}</definedName>
    <definedName name="lip" localSheetId="37" hidden="1">{#N/A,#N/A,TRUE,"Nagłówek"}</definedName>
    <definedName name="lip" localSheetId="38" hidden="1">{#N/A,#N/A,TRUE,"Nagłówek"}</definedName>
    <definedName name="lip" localSheetId="39" hidden="1">{#N/A,#N/A,TRUE,"Nagłówek"}</definedName>
    <definedName name="lip" localSheetId="19" hidden="1">{#N/A,#N/A,TRUE,"Nagłówek"}</definedName>
    <definedName name="lip" localSheetId="9" hidden="1">{#N/A,#N/A,TRUE,"Nagłówek"}</definedName>
    <definedName name="lip" localSheetId="34" hidden="1">{#N/A,#N/A,TRUE,"Nagłówek"}</definedName>
    <definedName name="lip" hidden="1">{#N/A,#N/A,TRUE,"Nagłówek"}</definedName>
    <definedName name="ListaNazw" localSheetId="43">#REF!</definedName>
    <definedName name="ListaNazw" localSheetId="52">#REF!</definedName>
    <definedName name="ListaNazw" localSheetId="28">#REF!</definedName>
    <definedName name="ListaNazw" localSheetId="36">#REF!</definedName>
    <definedName name="ListaNazw" localSheetId="7">#REF!</definedName>
    <definedName name="ListaNazw" localSheetId="26">#REF!</definedName>
    <definedName name="ListaNazw" localSheetId="23">#REF!</definedName>
    <definedName name="ListaNazw" localSheetId="22">#REF!</definedName>
    <definedName name="ListaNazw" localSheetId="39">#REF!</definedName>
    <definedName name="ListaNazw" localSheetId="56">#REF!</definedName>
    <definedName name="ListaNazw" localSheetId="19">#REF!</definedName>
    <definedName name="ListaNazw">#REF!</definedName>
    <definedName name="ListaNazw1" localSheetId="43">#REF!</definedName>
    <definedName name="ListaNazw1" localSheetId="52">#REF!</definedName>
    <definedName name="ListaNazw1" localSheetId="28">#REF!</definedName>
    <definedName name="ListaNazw1" localSheetId="36">#REF!</definedName>
    <definedName name="ListaNazw1" localSheetId="7">#REF!</definedName>
    <definedName name="ListaNazw1" localSheetId="26">#REF!</definedName>
    <definedName name="ListaNazw1" localSheetId="23">#REF!</definedName>
    <definedName name="ListaNazw1" localSheetId="22">#REF!</definedName>
    <definedName name="ListaNazw1" localSheetId="39">#REF!</definedName>
    <definedName name="ListaNazw1" localSheetId="56">#REF!</definedName>
    <definedName name="ListaNazw1" localSheetId="19">#REF!</definedName>
    <definedName name="ListaNazw1">#REF!</definedName>
    <definedName name="łącznie" localSheetId="15" hidden="1">{#N/A,#N/A,TRUE,"Nagłówek"}</definedName>
    <definedName name="łącznie" localSheetId="40" hidden="1">{#N/A,#N/A,TRUE,"Nagłówek"}</definedName>
    <definedName name="łącznie" localSheetId="41" hidden="1">{#N/A,#N/A,TRUE,"Nagłówek"}</definedName>
    <definedName name="łącznie" localSheetId="42" hidden="1">{#N/A,#N/A,TRUE,"Nagłówek"}</definedName>
    <definedName name="łącznie" localSheetId="43" hidden="1">{#N/A,#N/A,TRUE,"Nagłówek"}</definedName>
    <definedName name="łącznie" localSheetId="16" hidden="1">{#N/A,#N/A,TRUE,"Nagłówek"}</definedName>
    <definedName name="łącznie" localSheetId="44" hidden="1">{#N/A,#N/A,TRUE,"Nagłówek"}</definedName>
    <definedName name="łącznie" localSheetId="45" hidden="1">{#N/A,#N/A,TRUE,"Nagłówek"}</definedName>
    <definedName name="łącznie" localSheetId="46" hidden="1">{#N/A,#N/A,TRUE,"Nagłówek"}</definedName>
    <definedName name="łącznie" localSheetId="47" hidden="1">{#N/A,#N/A,TRUE,"Nagłówek"}</definedName>
    <definedName name="łącznie" localSheetId="48" hidden="1">{#N/A,#N/A,TRUE,"Nagłówek"}</definedName>
    <definedName name="łącznie" localSheetId="49" hidden="1">{#N/A,#N/A,TRUE,"Nagłówek"}</definedName>
    <definedName name="łącznie" localSheetId="50" hidden="1">{#N/A,#N/A,TRUE,"Nagłówek"}</definedName>
    <definedName name="łącznie" localSheetId="51" hidden="1">{#N/A,#N/A,TRUE,"Nagłówek"}</definedName>
    <definedName name="łącznie" localSheetId="52" hidden="1">{#N/A,#N/A,TRUE,"Nagłówek"}</definedName>
    <definedName name="łącznie" localSheetId="12" hidden="1">{#N/A,#N/A,TRUE,"Nagłówek"}</definedName>
    <definedName name="łącznie" localSheetId="13" hidden="1">{#N/A,#N/A,TRUE,"Nagłówek"}</definedName>
    <definedName name="łącznie" localSheetId="33" hidden="1">{#N/A,#N/A,TRUE,"Nagłówek"}</definedName>
    <definedName name="łącznie" localSheetId="10" hidden="1">{#N/A,#N/A,TRUE,"Nagłówek"}</definedName>
    <definedName name="łącznie" localSheetId="29" hidden="1">{#N/A,#N/A,TRUE,"Nagłówek"}</definedName>
    <definedName name="łącznie" localSheetId="32" hidden="1">{#N/A,#N/A,TRUE,"Nagłówek"}</definedName>
    <definedName name="łącznie" localSheetId="11" hidden="1">{#N/A,#N/A,TRUE,"Nagłówek"}</definedName>
    <definedName name="łącznie" localSheetId="36" hidden="1">{#N/A,#N/A,TRUE,"Nagłówek"}</definedName>
    <definedName name="łącznie" localSheetId="35" hidden="1">{#N/A,#N/A,TRUE,"Nagłówek"}</definedName>
    <definedName name="łącznie" localSheetId="7" hidden="1">{#N/A,#N/A,TRUE,"Nagłówek"}</definedName>
    <definedName name="łącznie" localSheetId="25" hidden="1">{#N/A,#N/A,TRUE,"Nagłówek"}</definedName>
    <definedName name="łącznie" localSheetId="26" hidden="1">{#N/A,#N/A,TRUE,"Nagłówek"}</definedName>
    <definedName name="łącznie" localSheetId="24" hidden="1">{#N/A,#N/A,TRUE,"Nagłówek"}</definedName>
    <definedName name="łącznie" localSheetId="31" hidden="1">{#N/A,#N/A,TRUE,"Nagłówek"}</definedName>
    <definedName name="łącznie" localSheetId="18" hidden="1">{#N/A,#N/A,TRUE,"Nagłówek"}</definedName>
    <definedName name="łącznie" localSheetId="54" hidden="1">{#N/A,#N/A,TRUE,"Nagłówek"}</definedName>
    <definedName name="łącznie" localSheetId="30" hidden="1">{#N/A,#N/A,TRUE,"Nagłówek"}</definedName>
    <definedName name="łącznie" localSheetId="14" hidden="1">{#N/A,#N/A,TRUE,"Nagłówek"}</definedName>
    <definedName name="łącznie" localSheetId="37" hidden="1">{#N/A,#N/A,TRUE,"Nagłówek"}</definedName>
    <definedName name="łącznie" localSheetId="38" hidden="1">{#N/A,#N/A,TRUE,"Nagłówek"}</definedName>
    <definedName name="łącznie" localSheetId="39" hidden="1">{#N/A,#N/A,TRUE,"Nagłówek"}</definedName>
    <definedName name="łącznie" localSheetId="19" hidden="1">{#N/A,#N/A,TRUE,"Nagłówek"}</definedName>
    <definedName name="łącznie" localSheetId="9" hidden="1">{#N/A,#N/A,TRUE,"Nagłówek"}</definedName>
    <definedName name="łącznie" localSheetId="34" hidden="1">{#N/A,#N/A,TRUE,"Nagłówek"}</definedName>
    <definedName name="łącznie" hidden="1">{#N/A,#N/A,TRUE,"Nagłówek"}</definedName>
    <definedName name="m">[10]Árfolyamadatok!$E$6:$E$43</definedName>
    <definedName name="Margin">'[4]#REF'!$CK$5:$CQ$20</definedName>
    <definedName name="Menu" localSheetId="15">[11]!Menu</definedName>
    <definedName name="Menu" localSheetId="40">[11]!Menu</definedName>
    <definedName name="Menu" localSheetId="41">[11]!Menu</definedName>
    <definedName name="Menu" localSheetId="42">[11]!Menu</definedName>
    <definedName name="Menu" localSheetId="43">[11]!Menu</definedName>
    <definedName name="Menu" localSheetId="16">[11]!Menu</definedName>
    <definedName name="Menu" localSheetId="44">[11]!Menu</definedName>
    <definedName name="Menu" localSheetId="45">[11]!Menu</definedName>
    <definedName name="Menu" localSheetId="46">[11]!Menu</definedName>
    <definedName name="Menu" localSheetId="47">[11]!Menu</definedName>
    <definedName name="Menu" localSheetId="48">[11]!Menu</definedName>
    <definedName name="Menu" localSheetId="49">[11]!Menu</definedName>
    <definedName name="Menu" localSheetId="50">[11]!Menu</definedName>
    <definedName name="Menu" localSheetId="51">[11]!Menu</definedName>
    <definedName name="Menu" localSheetId="52">[11]!Menu</definedName>
    <definedName name="Menu" localSheetId="12">[11]!Menu</definedName>
    <definedName name="Menu" localSheetId="33">[11]!Menu</definedName>
    <definedName name="Menu" localSheetId="10">[11]!Menu</definedName>
    <definedName name="Menu" localSheetId="29">[11]!Menu</definedName>
    <definedName name="Menu" localSheetId="27">[11]!Menu</definedName>
    <definedName name="Menu" localSheetId="28">[11]!Menu</definedName>
    <definedName name="Menu" localSheetId="8">[11]!Menu</definedName>
    <definedName name="Menu" localSheetId="32">[11]!Menu</definedName>
    <definedName name="Menu" localSheetId="11">[11]!Menu</definedName>
    <definedName name="Menu" localSheetId="35">[11]!Menu</definedName>
    <definedName name="Menu" localSheetId="7">[11]!Menu</definedName>
    <definedName name="Menu" localSheetId="26">[11]!Menu</definedName>
    <definedName name="Menu" localSheetId="23">[11]!Menu</definedName>
    <definedName name="Menu" localSheetId="22">[11]!Menu</definedName>
    <definedName name="Menu" localSheetId="31">[11]!Menu</definedName>
    <definedName name="Menu" localSheetId="18">[11]!Menu</definedName>
    <definedName name="Menu" localSheetId="54">[11]!Menu</definedName>
    <definedName name="Menu" localSheetId="30">[11]!Menu</definedName>
    <definedName name="Menu" localSheetId="14">[11]!Menu</definedName>
    <definedName name="Menu" localSheetId="37">[11]!Menu</definedName>
    <definedName name="Menu" localSheetId="38">[11]!Menu</definedName>
    <definedName name="Menu" localSheetId="39">[11]!Menu</definedName>
    <definedName name="Menu" localSheetId="2">[11]!Menu</definedName>
    <definedName name="Menu" localSheetId="58">[11]!Menu</definedName>
    <definedName name="Menu" localSheetId="56">[11]!Menu</definedName>
    <definedName name="Menu" localSheetId="19">[11]!Menu</definedName>
    <definedName name="Menu" localSheetId="9">[11]!Menu</definedName>
    <definedName name="Menu" localSheetId="6">[11]!Menu</definedName>
    <definedName name="Menu" localSheetId="17">[11]!Menu</definedName>
    <definedName name="Menu">[11]!Menu</definedName>
    <definedName name="nakłady" localSheetId="15" hidden="1">{#N/A,#N/A,TRUE,"Nagłówek"}</definedName>
    <definedName name="nakłady" localSheetId="40" hidden="1">{#N/A,#N/A,TRUE,"Nagłówek"}</definedName>
    <definedName name="nakłady" localSheetId="41" hidden="1">{#N/A,#N/A,TRUE,"Nagłówek"}</definedName>
    <definedName name="nakłady" localSheetId="42" hidden="1">{#N/A,#N/A,TRUE,"Nagłówek"}</definedName>
    <definedName name="nakłady" localSheetId="43" hidden="1">{#N/A,#N/A,TRUE,"Nagłówek"}</definedName>
    <definedName name="nakłady" localSheetId="16" hidden="1">{#N/A,#N/A,TRUE,"Nagłówek"}</definedName>
    <definedName name="nakłady" localSheetId="44" hidden="1">{#N/A,#N/A,TRUE,"Nagłówek"}</definedName>
    <definedName name="nakłady" localSheetId="45" hidden="1">{#N/A,#N/A,TRUE,"Nagłówek"}</definedName>
    <definedName name="nakłady" localSheetId="46" hidden="1">{#N/A,#N/A,TRUE,"Nagłówek"}</definedName>
    <definedName name="nakłady" localSheetId="47" hidden="1">{#N/A,#N/A,TRUE,"Nagłówek"}</definedName>
    <definedName name="nakłady" localSheetId="48" hidden="1">{#N/A,#N/A,TRUE,"Nagłówek"}</definedName>
    <definedName name="nakłady" localSheetId="49" hidden="1">{#N/A,#N/A,TRUE,"Nagłówek"}</definedName>
    <definedName name="nakłady" localSheetId="50" hidden="1">{#N/A,#N/A,TRUE,"Nagłówek"}</definedName>
    <definedName name="nakłady" localSheetId="51" hidden="1">{#N/A,#N/A,TRUE,"Nagłówek"}</definedName>
    <definedName name="nakłady" localSheetId="52" hidden="1">{#N/A,#N/A,TRUE,"Nagłówek"}</definedName>
    <definedName name="nakłady" localSheetId="12" hidden="1">{#N/A,#N/A,TRUE,"Nagłówek"}</definedName>
    <definedName name="nakłady" localSheetId="13" hidden="1">{#N/A,#N/A,TRUE,"Nagłówek"}</definedName>
    <definedName name="nakłady" localSheetId="33" hidden="1">{#N/A,#N/A,TRUE,"Nagłówek"}</definedName>
    <definedName name="nakłady" localSheetId="10" hidden="1">{#N/A,#N/A,TRUE,"Nagłówek"}</definedName>
    <definedName name="nakłady" localSheetId="29" hidden="1">{#N/A,#N/A,TRUE,"Nagłówek"}</definedName>
    <definedName name="nakłady" localSheetId="32" hidden="1">{#N/A,#N/A,TRUE,"Nagłówek"}</definedName>
    <definedName name="nakłady" localSheetId="11" hidden="1">{#N/A,#N/A,TRUE,"Nagłówek"}</definedName>
    <definedName name="nakłady" localSheetId="36" hidden="1">{#N/A,#N/A,TRUE,"Nagłówek"}</definedName>
    <definedName name="nakłady" localSheetId="35" hidden="1">{#N/A,#N/A,TRUE,"Nagłówek"}</definedName>
    <definedName name="nakłady" localSheetId="7" hidden="1">{#N/A,#N/A,TRUE,"Nagłówek"}</definedName>
    <definedName name="nakłady" localSheetId="25" hidden="1">{#N/A,#N/A,TRUE,"Nagłówek"}</definedName>
    <definedName name="nakłady" localSheetId="26" hidden="1">{#N/A,#N/A,TRUE,"Nagłówek"}</definedName>
    <definedName name="nakłady" localSheetId="24" hidden="1">{#N/A,#N/A,TRUE,"Nagłówek"}</definedName>
    <definedName name="nakłady" localSheetId="31" hidden="1">{#N/A,#N/A,TRUE,"Nagłówek"}</definedName>
    <definedName name="nakłady" localSheetId="18" hidden="1">{#N/A,#N/A,TRUE,"Nagłówek"}</definedName>
    <definedName name="nakłady" localSheetId="54" hidden="1">{#N/A,#N/A,TRUE,"Nagłówek"}</definedName>
    <definedName name="nakłady" localSheetId="30" hidden="1">{#N/A,#N/A,TRUE,"Nagłówek"}</definedName>
    <definedName name="nakłady" localSheetId="14" hidden="1">{#N/A,#N/A,TRUE,"Nagłówek"}</definedName>
    <definedName name="nakłady" localSheetId="37" hidden="1">{#N/A,#N/A,TRUE,"Nagłówek"}</definedName>
    <definedName name="nakłady" localSheetId="38" hidden="1">{#N/A,#N/A,TRUE,"Nagłówek"}</definedName>
    <definedName name="nakłady" localSheetId="39" hidden="1">{#N/A,#N/A,TRUE,"Nagłówek"}</definedName>
    <definedName name="nakłady" localSheetId="19" hidden="1">{#N/A,#N/A,TRUE,"Nagłówek"}</definedName>
    <definedName name="nakłady" localSheetId="9" hidden="1">{#N/A,#N/A,TRUE,"Nagłówek"}</definedName>
    <definedName name="nakłady" localSheetId="34" hidden="1">{#N/A,#N/A,TRUE,"Nagłówek"}</definedName>
    <definedName name="nakłady" hidden="1">{#N/A,#N/A,TRUE,"Nagłówek"}</definedName>
    <definedName name="nazwaJed">'[12]spis tresci'!$B$6</definedName>
    <definedName name="O" localSheetId="15" hidden="1">{#N/A,#N/A,TRUE,"Nagłówek"}</definedName>
    <definedName name="O" localSheetId="40" hidden="1">{#N/A,#N/A,TRUE,"Nagłówek"}</definedName>
    <definedName name="O" localSheetId="41" hidden="1">{#N/A,#N/A,TRUE,"Nagłówek"}</definedName>
    <definedName name="O" localSheetId="42" hidden="1">{#N/A,#N/A,TRUE,"Nagłówek"}</definedName>
    <definedName name="O" localSheetId="43" hidden="1">{#N/A,#N/A,TRUE,"Nagłówek"}</definedName>
    <definedName name="O" localSheetId="16" hidden="1">{#N/A,#N/A,TRUE,"Nagłówek"}</definedName>
    <definedName name="O" localSheetId="44" hidden="1">{#N/A,#N/A,TRUE,"Nagłówek"}</definedName>
    <definedName name="O" localSheetId="45" hidden="1">{#N/A,#N/A,TRUE,"Nagłówek"}</definedName>
    <definedName name="O" localSheetId="46" hidden="1">{#N/A,#N/A,TRUE,"Nagłówek"}</definedName>
    <definedName name="O" localSheetId="47" hidden="1">{#N/A,#N/A,TRUE,"Nagłówek"}</definedName>
    <definedName name="O" localSheetId="48" hidden="1">{#N/A,#N/A,TRUE,"Nagłówek"}</definedName>
    <definedName name="O" localSheetId="49" hidden="1">{#N/A,#N/A,TRUE,"Nagłówek"}</definedName>
    <definedName name="O" localSheetId="50" hidden="1">{#N/A,#N/A,TRUE,"Nagłówek"}</definedName>
    <definedName name="O" localSheetId="51" hidden="1">{#N/A,#N/A,TRUE,"Nagłówek"}</definedName>
    <definedName name="O" localSheetId="52" hidden="1">{#N/A,#N/A,TRUE,"Nagłówek"}</definedName>
    <definedName name="O" localSheetId="12" hidden="1">{#N/A,#N/A,TRUE,"Nagłówek"}</definedName>
    <definedName name="O" localSheetId="13" hidden="1">{#N/A,#N/A,TRUE,"Nagłówek"}</definedName>
    <definedName name="O" localSheetId="33" hidden="1">{#N/A,#N/A,TRUE,"Nagłówek"}</definedName>
    <definedName name="O" localSheetId="10" hidden="1">{#N/A,#N/A,TRUE,"Nagłówek"}</definedName>
    <definedName name="O" localSheetId="29" hidden="1">{#N/A,#N/A,TRUE,"Nagłówek"}</definedName>
    <definedName name="O" localSheetId="32" hidden="1">{#N/A,#N/A,TRUE,"Nagłówek"}</definedName>
    <definedName name="O" localSheetId="11" hidden="1">{#N/A,#N/A,TRUE,"Nagłówek"}</definedName>
    <definedName name="O" localSheetId="36" hidden="1">{#N/A,#N/A,TRUE,"Nagłówek"}</definedName>
    <definedName name="O" localSheetId="35" hidden="1">{#N/A,#N/A,TRUE,"Nagłówek"}</definedName>
    <definedName name="O" localSheetId="7" hidden="1">{#N/A,#N/A,TRUE,"Nagłówek"}</definedName>
    <definedName name="O" localSheetId="25" hidden="1">{#N/A,#N/A,TRUE,"Nagłówek"}</definedName>
    <definedName name="O" localSheetId="26" hidden="1">{#N/A,#N/A,TRUE,"Nagłówek"}</definedName>
    <definedName name="O" localSheetId="24" hidden="1">{#N/A,#N/A,TRUE,"Nagłówek"}</definedName>
    <definedName name="O" localSheetId="31" hidden="1">{#N/A,#N/A,TRUE,"Nagłówek"}</definedName>
    <definedName name="O" localSheetId="18" hidden="1">{#N/A,#N/A,TRUE,"Nagłówek"}</definedName>
    <definedName name="O" localSheetId="54" hidden="1">{#N/A,#N/A,TRUE,"Nagłówek"}</definedName>
    <definedName name="O" localSheetId="30" hidden="1">{#N/A,#N/A,TRUE,"Nagłówek"}</definedName>
    <definedName name="O" localSheetId="14" hidden="1">{#N/A,#N/A,TRUE,"Nagłówek"}</definedName>
    <definedName name="O" localSheetId="37" hidden="1">{#N/A,#N/A,TRUE,"Nagłówek"}</definedName>
    <definedName name="O" localSheetId="38" hidden="1">{#N/A,#N/A,TRUE,"Nagłówek"}</definedName>
    <definedName name="O" localSheetId="39" hidden="1">{#N/A,#N/A,TRUE,"Nagłówek"}</definedName>
    <definedName name="O" localSheetId="19" hidden="1">{#N/A,#N/A,TRUE,"Nagłówek"}</definedName>
    <definedName name="O" localSheetId="9" hidden="1">{#N/A,#N/A,TRUE,"Nagłówek"}</definedName>
    <definedName name="O" localSheetId="34" hidden="1">{#N/A,#N/A,TRUE,"Nagłówek"}</definedName>
    <definedName name="O" hidden="1">{#N/A,#N/A,TRUE,"Nagłówek"}</definedName>
    <definedName name="_xlnm.Print_Area" localSheetId="15">Bilans!$B$2:$G$51</definedName>
    <definedName name="_xlnm.Print_Area" localSheetId="40">'Bilans''13-''15'!$B$2:$N$52</definedName>
    <definedName name="_xlnm.Print_Area" localSheetId="41">'Bilans''16'!$B$2:$G$47</definedName>
    <definedName name="_xlnm.Print_Area" localSheetId="42">'Bilans''17-''18'!$B$2:$K$51</definedName>
    <definedName name="_xlnm.Print_Area" localSheetId="43">'Bilans''19-''24'!$B$2:$Z$60</definedName>
    <definedName name="_xlnm.Print_Area" localSheetId="16">CashFlow!$B$2:$L$49</definedName>
    <definedName name="_xlnm.Print_Area" localSheetId="44">'CashFlow ''13-''15'!$B$2:$Q$54</definedName>
    <definedName name="_xlnm.Print_Area" localSheetId="45">'CashFlow ''16-''17'!$B$2:$L$53</definedName>
    <definedName name="_xlnm.Print_Area" localSheetId="46">'CashFlow ''18'!$B$2:$G$52</definedName>
    <definedName name="_xlnm.Print_Area" localSheetId="47">'CashFlow ''19'!$B$2:$G$54</definedName>
    <definedName name="_xlnm.Print_Area" localSheetId="48">'CashFlow ''20'!$B$2:$G$62</definedName>
    <definedName name="_xlnm.Print_Area" localSheetId="49">'CashFlow ''21'!$B$2:$G$54</definedName>
    <definedName name="_xlnm.Print_Area" localSheetId="50">'CashFlow ''22'!$B$2:$G$56</definedName>
    <definedName name="_xlnm.Print_Area" localSheetId="51">'CashFlow ''23'!$B$2:$G$60</definedName>
    <definedName name="_xlnm.Print_Area" localSheetId="52">'CashFlow''24'!$B$2:$G$56</definedName>
    <definedName name="_xlnm.Print_Area" localSheetId="12">'Consumers&amp;Products'!$B$2:$L$17</definedName>
    <definedName name="_xlnm.Print_Area" localSheetId="13">'Corporate functions'!$B$2:$L$17</definedName>
    <definedName name="_xlnm.Print_Area" localSheetId="21">'Dane historyczne'!$A$2:$P$36</definedName>
    <definedName name="_xlnm.Print_Area" localSheetId="33">'Detal ''13-''24'!$B$2:$BJ$21</definedName>
    <definedName name="_xlnm.Print_Area" localSheetId="10">Downstream!$B$2:$L$19</definedName>
    <definedName name="_xlnm.Print_Area" localSheetId="29">'Downstream''13-''19'!$B$2:$AL$25</definedName>
    <definedName name="_xlnm.Print_Area" localSheetId="27">'EBITDA, EBIT, Amort.''13-''19'!$B$2:$BP$53</definedName>
    <definedName name="_xlnm.Print_Area" localSheetId="28">'EBITDA, EBIT, Amort.''19-''24'!$B$2:$BJ$61</definedName>
    <definedName name="_xlnm.Print_Area" localSheetId="8">'EBITDA, EBIT, Amortyzacja'!$B$2:$V$77</definedName>
    <definedName name="_xlnm.Print_Area" localSheetId="57">'Energ_Wydoby_Gaz_''19-''22'!$A$2:$V$81</definedName>
    <definedName name="_xlnm.Print_Area" localSheetId="32">'Energetyka ''19-''24'!$B$2:$AF$22</definedName>
    <definedName name="_xlnm.Print_Area" localSheetId="11">Energy!$B$2:$L$17</definedName>
    <definedName name="_xlnm.Print_Area" localSheetId="36">'Funkcje Korporacyjne ''13-''24'!$B$2:$BJ$22</definedName>
    <definedName name="_xlnm.Print_Area" localSheetId="35">'Gaz ''22-''24'!$B$2:$Q$21</definedName>
    <definedName name="_xlnm.Print_Area" localSheetId="7">'Kluczowe dane finansowe'!$B$2:$L$30</definedName>
    <definedName name="_xlnm.Print_Area" localSheetId="25">'Kluczowe dane finansowe''13-''19'!$B$2:$AL$66</definedName>
    <definedName name="_xlnm.Print_Area" localSheetId="26">'Kluczowe dane finansowe''19-''24'!$B$2:$AF$83</definedName>
    <definedName name="_xlnm.Print_Area" localSheetId="5">Konsumpcja!$B$2:$L$15</definedName>
    <definedName name="_xlnm.Print_Area" localSheetId="24">'Konsumpcja''13-''24'!$B$2:$BJ$28</definedName>
    <definedName name="_xlnm.Print_Area" localSheetId="23">'Kursy''13-''24'!$B$2:$DO$17</definedName>
    <definedName name="_xlnm.Print_Area" localSheetId="22">'Marże''13-''24'!$B$2:$BO$44</definedName>
    <definedName name="_xlnm.Print_Area" localSheetId="3">'Otoczenie makro'!$A$1:$Q$36</definedName>
    <definedName name="_xlnm.Print_Area" localSheetId="4">'Parametry makro'!$B$2:$L$47</definedName>
    <definedName name="_xlnm.Print_Area" localSheetId="31">'Petrochemia ''19-''24'!$B$2:$AF$24</definedName>
    <definedName name="_xlnm.Print_Area" localSheetId="18">'Produkcja Downstream'!$B$2:$L$23</definedName>
    <definedName name="_xlnm.Print_Area" localSheetId="53">'Produkcja''13-''19'!$B$2:$FZ$20</definedName>
    <definedName name="_xlnm.Print_Area" localSheetId="54">'Produkcja''19-''24'!$B$2:$FU$48</definedName>
    <definedName name="_xlnm.Print_Area" localSheetId="30">'Rafineria ''19-''24'!$B$2:$AF$24</definedName>
    <definedName name="_xlnm.Print_Area" localSheetId="14">RZiS!$B$2:$L$47</definedName>
    <definedName name="_xlnm.Print_Area" localSheetId="37">'RZiS''13-''17'!$B$2:$AA$44</definedName>
    <definedName name="_xlnm.Print_Area" localSheetId="38">'RZiS''18'!$B$2:$G$51</definedName>
    <definedName name="_xlnm.Print_Area" localSheetId="39">'RZiS''19-''24'!$B$2:$AF$57</definedName>
    <definedName name="_xlnm.Print_Area" localSheetId="2">'Spis treści'!$A$1:$M$65</definedName>
    <definedName name="_xlnm.Print_Area" localSheetId="58">'Spółki dawnej Grupy PGNiG'!$A$2:$H$38</definedName>
    <definedName name="_xlnm.Print_Area" localSheetId="55">'Sprzedaż ''13-''19'!$B$2:$AL$26</definedName>
    <definedName name="_xlnm.Print_Area" localSheetId="56">'Sprzedaż ''19-''24'!$B$2:$AF$65</definedName>
    <definedName name="_xlnm.Print_Area" localSheetId="19">'Sprzedaż Downstream i C&amp;P'!$B$2:$L$24</definedName>
    <definedName name="_xlnm.Print_Area" localSheetId="9">'Upstream&amp;Supply'!$B$2:$L$19</definedName>
    <definedName name="_xlnm.Print_Area" localSheetId="20">'Upstream&amp;Supply_Energy'!$A$1:$Q$86</definedName>
    <definedName name="_xlnm.Print_Area" localSheetId="6">'Wybrane dane finansowe'!$A$1:$Q$36</definedName>
    <definedName name="_xlnm.Print_Area" localSheetId="17">'Wybrane dane operacyjne'!$A$1:$P$36</definedName>
    <definedName name="_xlnm.Print_Area" localSheetId="34">'Wydobycie ''13-''24'!$B$2:$BJ$22</definedName>
    <definedName name="Obszar2_kwartały">"$wydział.$"</definedName>
    <definedName name="Oddzialy" localSheetId="43">#REF!</definedName>
    <definedName name="Oddzialy" localSheetId="52">#REF!</definedName>
    <definedName name="Oddzialy" localSheetId="28">#REF!</definedName>
    <definedName name="Oddzialy" localSheetId="36">#REF!</definedName>
    <definedName name="Oddzialy" localSheetId="7">#REF!</definedName>
    <definedName name="Oddzialy" localSheetId="26">#REF!</definedName>
    <definedName name="Oddzialy" localSheetId="23">#REF!</definedName>
    <definedName name="Oddzialy" localSheetId="22">#REF!</definedName>
    <definedName name="Oddzialy" localSheetId="39">#REF!</definedName>
    <definedName name="Oddzialy" localSheetId="56">#REF!</definedName>
    <definedName name="Oddzialy" localSheetId="19">#REF!</definedName>
    <definedName name="Oddzialy">#REF!</definedName>
    <definedName name="okres" localSheetId="43">#REF!</definedName>
    <definedName name="okres" localSheetId="52">#REF!</definedName>
    <definedName name="okres" localSheetId="28">#REF!</definedName>
    <definedName name="okres" localSheetId="36">#REF!</definedName>
    <definedName name="okres" localSheetId="7">#REF!</definedName>
    <definedName name="okres" localSheetId="26">#REF!</definedName>
    <definedName name="okres" localSheetId="23">#REF!</definedName>
    <definedName name="okres" localSheetId="22">#REF!</definedName>
    <definedName name="okres" localSheetId="39">#REF!</definedName>
    <definedName name="okres" localSheetId="56">#REF!</definedName>
    <definedName name="okres" localSheetId="19">#REF!</definedName>
    <definedName name="okres">#REF!</definedName>
    <definedName name="pas">[2]ster!$B$10</definedName>
    <definedName name="paskorekty">[6]ster!$B$11</definedName>
    <definedName name="PelnaNazwa" localSheetId="43">#REF!</definedName>
    <definedName name="PelnaNazwa" localSheetId="52">#REF!</definedName>
    <definedName name="PelnaNazwa" localSheetId="28">#REF!</definedName>
    <definedName name="PelnaNazwa" localSheetId="36">#REF!</definedName>
    <definedName name="PelnaNazwa" localSheetId="7">#REF!</definedName>
    <definedName name="PelnaNazwa" localSheetId="26">#REF!</definedName>
    <definedName name="PelnaNazwa" localSheetId="23">#REF!</definedName>
    <definedName name="PelnaNazwa" localSheetId="22">#REF!</definedName>
    <definedName name="PelnaNazwa" localSheetId="39">#REF!</definedName>
    <definedName name="PelnaNazwa" localSheetId="56">#REF!</definedName>
    <definedName name="PelnaNazwa" localSheetId="19">#REF!</definedName>
    <definedName name="PelnaNazwa">#REF!</definedName>
    <definedName name="podatek">[5]ster!$B$14</definedName>
    <definedName name="pokresu" localSheetId="43">[7]ster!#REF!</definedName>
    <definedName name="pokresu" localSheetId="52">[7]ster!#REF!</definedName>
    <definedName name="pokresu" localSheetId="28">[7]ster!#REF!</definedName>
    <definedName name="pokresu" localSheetId="36">[7]ster!#REF!</definedName>
    <definedName name="pokresu" localSheetId="7">[7]ster!#REF!</definedName>
    <definedName name="pokresu" localSheetId="26">[7]ster!#REF!</definedName>
    <definedName name="pokresu" localSheetId="23">[7]ster!#REF!</definedName>
    <definedName name="pokresu" localSheetId="22">[7]ster!#REF!</definedName>
    <definedName name="pokresu" localSheetId="39">[7]ster!#REF!</definedName>
    <definedName name="pokresu" localSheetId="56">[7]ster!#REF!</definedName>
    <definedName name="pokresu" localSheetId="19">[7]ster!#REF!</definedName>
    <definedName name="pokresu">[7]ster!#REF!</definedName>
    <definedName name="pokresu2" localSheetId="43">[8]ster!#REF!</definedName>
    <definedName name="pokresu2" localSheetId="52">[8]ster!#REF!</definedName>
    <definedName name="pokresu2" localSheetId="28">[8]ster!#REF!</definedName>
    <definedName name="pokresu2" localSheetId="36">[8]ster!#REF!</definedName>
    <definedName name="pokresu2" localSheetId="7">[8]ster!#REF!</definedName>
    <definedName name="pokresu2" localSheetId="26">[8]ster!#REF!</definedName>
    <definedName name="pokresu2" localSheetId="23">[8]ster!#REF!</definedName>
    <definedName name="pokresu2" localSheetId="22">[8]ster!#REF!</definedName>
    <definedName name="pokresu2" localSheetId="39">[8]ster!#REF!</definedName>
    <definedName name="pokresu2" localSheetId="56">[8]ster!#REF!</definedName>
    <definedName name="pokresu2" localSheetId="19">[8]ster!#REF!</definedName>
    <definedName name="pokresu2">[8]ster!#REF!</definedName>
    <definedName name="popokres" localSheetId="43">[7]ster!#REF!</definedName>
    <definedName name="popokres" localSheetId="52">[7]ster!#REF!</definedName>
    <definedName name="popokres" localSheetId="28">[7]ster!#REF!</definedName>
    <definedName name="popokres" localSheetId="36">[7]ster!#REF!</definedName>
    <definedName name="popokres" localSheetId="7">[7]ster!#REF!</definedName>
    <definedName name="popokres" localSheetId="26">[7]ster!#REF!</definedName>
    <definedName name="popokres" localSheetId="23">[7]ster!#REF!</definedName>
    <definedName name="popokres" localSheetId="22">[7]ster!#REF!</definedName>
    <definedName name="popokres" localSheetId="39">[7]ster!#REF!</definedName>
    <definedName name="popokres" localSheetId="56">[7]ster!#REF!</definedName>
    <definedName name="popokres" localSheetId="19">[7]ster!#REF!</definedName>
    <definedName name="popokres">[7]ster!#REF!</definedName>
    <definedName name="poprzaudyt" localSheetId="43">[7]ster!#REF!</definedName>
    <definedName name="poprzaudyt" localSheetId="52">[7]ster!#REF!</definedName>
    <definedName name="poprzaudyt" localSheetId="28">[7]ster!#REF!</definedName>
    <definedName name="poprzaudyt" localSheetId="36">[7]ster!#REF!</definedName>
    <definedName name="poprzaudyt" localSheetId="7">[7]ster!#REF!</definedName>
    <definedName name="poprzaudyt" localSheetId="26">[7]ster!#REF!</definedName>
    <definedName name="poprzaudyt" localSheetId="23">[7]ster!#REF!</definedName>
    <definedName name="poprzaudyt" localSheetId="22">[7]ster!#REF!</definedName>
    <definedName name="poprzaudyt" localSheetId="39">[7]ster!#REF!</definedName>
    <definedName name="poprzaudyt" localSheetId="56">[7]ster!#REF!</definedName>
    <definedName name="poprzaudyt" localSheetId="19">[7]ster!#REF!</definedName>
    <definedName name="poprzaudyt">[7]ster!#REF!</definedName>
    <definedName name="poprzokres" localSheetId="43">[7]ster!#REF!</definedName>
    <definedName name="poprzokres" localSheetId="52">[7]ster!#REF!</definedName>
    <definedName name="poprzokres" localSheetId="28">[7]ster!#REF!</definedName>
    <definedName name="poprzokres" localSheetId="7">[7]ster!#REF!</definedName>
    <definedName name="poprzokres" localSheetId="26">[7]ster!#REF!</definedName>
    <definedName name="poprzokres" localSheetId="23">[7]ster!#REF!</definedName>
    <definedName name="poprzokres" localSheetId="22">[7]ster!#REF!</definedName>
    <definedName name="poprzokres" localSheetId="39">[7]ster!#REF!</definedName>
    <definedName name="poprzokres" localSheetId="56">[7]ster!#REF!</definedName>
    <definedName name="poprzokres" localSheetId="19">[7]ster!#REF!</definedName>
    <definedName name="poprzokres">[7]ster!#REF!</definedName>
    <definedName name="prev_bs_date">[3]ster!$B$2</definedName>
    <definedName name="q" localSheetId="36" hidden="1">{#N/A,#N/A,TRUE,"Nagłówek"}</definedName>
    <definedName name="q" localSheetId="24" hidden="1">{#N/A,#N/A,TRUE,"Nagłówek"}</definedName>
    <definedName name="q" localSheetId="18" hidden="1">{#N/A,#N/A,TRUE,"Nagłówek"}</definedName>
    <definedName name="q" localSheetId="54" hidden="1">{#N/A,#N/A,TRUE,"Nagłówek"}</definedName>
    <definedName name="q" localSheetId="19" hidden="1">{#N/A,#N/A,TRUE,"Nagłówek"}</definedName>
    <definedName name="q" hidden="1">{#N/A,#N/A,TRUE,"Nagłówek"}</definedName>
    <definedName name="qq" localSheetId="15" hidden="1">{#N/A,#N/A,TRUE,"Nagłówek"}</definedName>
    <definedName name="qq" localSheetId="40" hidden="1">{#N/A,#N/A,TRUE,"Nagłówek"}</definedName>
    <definedName name="qq" localSheetId="41" hidden="1">{#N/A,#N/A,TRUE,"Nagłówek"}</definedName>
    <definedName name="qq" localSheetId="42" hidden="1">{#N/A,#N/A,TRUE,"Nagłówek"}</definedName>
    <definedName name="qq" localSheetId="43" hidden="1">{#N/A,#N/A,TRUE,"Nagłówek"}</definedName>
    <definedName name="qq" localSheetId="16" hidden="1">{#N/A,#N/A,TRUE,"Nagłówek"}</definedName>
    <definedName name="qq" localSheetId="44" hidden="1">{#N/A,#N/A,TRUE,"Nagłówek"}</definedName>
    <definedName name="qq" localSheetId="45" hidden="1">{#N/A,#N/A,TRUE,"Nagłówek"}</definedName>
    <definedName name="qq" localSheetId="46" hidden="1">{#N/A,#N/A,TRUE,"Nagłówek"}</definedName>
    <definedName name="qq" localSheetId="47" hidden="1">{#N/A,#N/A,TRUE,"Nagłówek"}</definedName>
    <definedName name="qq" localSheetId="48" hidden="1">{#N/A,#N/A,TRUE,"Nagłówek"}</definedName>
    <definedName name="qq" localSheetId="49" hidden="1">{#N/A,#N/A,TRUE,"Nagłówek"}</definedName>
    <definedName name="qq" localSheetId="50" hidden="1">{#N/A,#N/A,TRUE,"Nagłówek"}</definedName>
    <definedName name="qq" localSheetId="51" hidden="1">{#N/A,#N/A,TRUE,"Nagłówek"}</definedName>
    <definedName name="qq" localSheetId="52" hidden="1">{#N/A,#N/A,TRUE,"Nagłówek"}</definedName>
    <definedName name="qq" localSheetId="12" hidden="1">{#N/A,#N/A,TRUE,"Nagłówek"}</definedName>
    <definedName name="qq" localSheetId="13" hidden="1">{#N/A,#N/A,TRUE,"Nagłówek"}</definedName>
    <definedName name="qq" localSheetId="33" hidden="1">{#N/A,#N/A,TRUE,"Nagłówek"}</definedName>
    <definedName name="qq" localSheetId="10" hidden="1">{#N/A,#N/A,TRUE,"Nagłówek"}</definedName>
    <definedName name="qq" localSheetId="29" hidden="1">{#N/A,#N/A,TRUE,"Nagłówek"}</definedName>
    <definedName name="qq" localSheetId="32" hidden="1">{#N/A,#N/A,TRUE,"Nagłówek"}</definedName>
    <definedName name="qq" localSheetId="11" hidden="1">{#N/A,#N/A,TRUE,"Nagłówek"}</definedName>
    <definedName name="qq" localSheetId="36" hidden="1">{#N/A,#N/A,TRUE,"Nagłówek"}</definedName>
    <definedName name="qq" localSheetId="35" hidden="1">{#N/A,#N/A,TRUE,"Nagłówek"}</definedName>
    <definedName name="qq" localSheetId="7" hidden="1">{#N/A,#N/A,TRUE,"Nagłówek"}</definedName>
    <definedName name="qq" localSheetId="25" hidden="1">{#N/A,#N/A,TRUE,"Nagłówek"}</definedName>
    <definedName name="qq" localSheetId="26" hidden="1">{#N/A,#N/A,TRUE,"Nagłówek"}</definedName>
    <definedName name="qq" localSheetId="24" hidden="1">{#N/A,#N/A,TRUE,"Nagłówek"}</definedName>
    <definedName name="qq" localSheetId="31" hidden="1">{#N/A,#N/A,TRUE,"Nagłówek"}</definedName>
    <definedName name="qq" localSheetId="18" hidden="1">{#N/A,#N/A,TRUE,"Nagłówek"}</definedName>
    <definedName name="qq" localSheetId="54" hidden="1">{#N/A,#N/A,TRUE,"Nagłówek"}</definedName>
    <definedName name="qq" localSheetId="30" hidden="1">{#N/A,#N/A,TRUE,"Nagłówek"}</definedName>
    <definedName name="qq" localSheetId="14" hidden="1">{#N/A,#N/A,TRUE,"Nagłówek"}</definedName>
    <definedName name="qq" localSheetId="37" hidden="1">{#N/A,#N/A,TRUE,"Nagłówek"}</definedName>
    <definedName name="qq" localSheetId="38" hidden="1">{#N/A,#N/A,TRUE,"Nagłówek"}</definedName>
    <definedName name="qq" localSheetId="39" hidden="1">{#N/A,#N/A,TRUE,"Nagłówek"}</definedName>
    <definedName name="qq" localSheetId="19" hidden="1">{#N/A,#N/A,TRUE,"Nagłówek"}</definedName>
    <definedName name="qq" localSheetId="9" hidden="1">{#N/A,#N/A,TRUE,"Nagłówek"}</definedName>
    <definedName name="qq" localSheetId="34" hidden="1">{#N/A,#N/A,TRUE,"Nagłówek"}</definedName>
    <definedName name="qq" hidden="1">{#N/A,#N/A,TRUE,"Nagłówek"}</definedName>
    <definedName name="qqqqq" localSheetId="15" hidden="1">{#N/A,#N/A,TRUE,"Nagłówek"}</definedName>
    <definedName name="qqqqq" localSheetId="40" hidden="1">{#N/A,#N/A,TRUE,"Nagłówek"}</definedName>
    <definedName name="qqqqq" localSheetId="41" hidden="1">{#N/A,#N/A,TRUE,"Nagłówek"}</definedName>
    <definedName name="qqqqq" localSheetId="42" hidden="1">{#N/A,#N/A,TRUE,"Nagłówek"}</definedName>
    <definedName name="qqqqq" localSheetId="43" hidden="1">{#N/A,#N/A,TRUE,"Nagłówek"}</definedName>
    <definedName name="qqqqq" localSheetId="16" hidden="1">{#N/A,#N/A,TRUE,"Nagłówek"}</definedName>
    <definedName name="qqqqq" localSheetId="44" hidden="1">{#N/A,#N/A,TRUE,"Nagłówek"}</definedName>
    <definedName name="qqqqq" localSheetId="45" hidden="1">{#N/A,#N/A,TRUE,"Nagłówek"}</definedName>
    <definedName name="qqqqq" localSheetId="46" hidden="1">{#N/A,#N/A,TRUE,"Nagłówek"}</definedName>
    <definedName name="qqqqq" localSheetId="47" hidden="1">{#N/A,#N/A,TRUE,"Nagłówek"}</definedName>
    <definedName name="qqqqq" localSheetId="48" hidden="1">{#N/A,#N/A,TRUE,"Nagłówek"}</definedName>
    <definedName name="qqqqq" localSheetId="49" hidden="1">{#N/A,#N/A,TRUE,"Nagłówek"}</definedName>
    <definedName name="qqqqq" localSheetId="50" hidden="1">{#N/A,#N/A,TRUE,"Nagłówek"}</definedName>
    <definedName name="qqqqq" localSheetId="51" hidden="1">{#N/A,#N/A,TRUE,"Nagłówek"}</definedName>
    <definedName name="qqqqq" localSheetId="52" hidden="1">{#N/A,#N/A,TRUE,"Nagłówek"}</definedName>
    <definedName name="qqqqq" localSheetId="12" hidden="1">{#N/A,#N/A,TRUE,"Nagłówek"}</definedName>
    <definedName name="qqqqq" localSheetId="13" hidden="1">{#N/A,#N/A,TRUE,"Nagłówek"}</definedName>
    <definedName name="qqqqq" localSheetId="33" hidden="1">{#N/A,#N/A,TRUE,"Nagłówek"}</definedName>
    <definedName name="qqqqq" localSheetId="10" hidden="1">{#N/A,#N/A,TRUE,"Nagłówek"}</definedName>
    <definedName name="qqqqq" localSheetId="29" hidden="1">{#N/A,#N/A,TRUE,"Nagłówek"}</definedName>
    <definedName name="qqqqq" localSheetId="32" hidden="1">{#N/A,#N/A,TRUE,"Nagłówek"}</definedName>
    <definedName name="qqqqq" localSheetId="11" hidden="1">{#N/A,#N/A,TRUE,"Nagłówek"}</definedName>
    <definedName name="qqqqq" localSheetId="36" hidden="1">{#N/A,#N/A,TRUE,"Nagłówek"}</definedName>
    <definedName name="qqqqq" localSheetId="35" hidden="1">{#N/A,#N/A,TRUE,"Nagłówek"}</definedName>
    <definedName name="qqqqq" localSheetId="7" hidden="1">{#N/A,#N/A,TRUE,"Nagłówek"}</definedName>
    <definedName name="qqqqq" localSheetId="25" hidden="1">{#N/A,#N/A,TRUE,"Nagłówek"}</definedName>
    <definedName name="qqqqq" localSheetId="26" hidden="1">{#N/A,#N/A,TRUE,"Nagłówek"}</definedName>
    <definedName name="qqqqq" localSheetId="24" hidden="1">{#N/A,#N/A,TRUE,"Nagłówek"}</definedName>
    <definedName name="qqqqq" localSheetId="31" hidden="1">{#N/A,#N/A,TRUE,"Nagłówek"}</definedName>
    <definedName name="qqqqq" localSheetId="18" hidden="1">{#N/A,#N/A,TRUE,"Nagłówek"}</definedName>
    <definedName name="qqqqq" localSheetId="54" hidden="1">{#N/A,#N/A,TRUE,"Nagłówek"}</definedName>
    <definedName name="qqqqq" localSheetId="30" hidden="1">{#N/A,#N/A,TRUE,"Nagłówek"}</definedName>
    <definedName name="qqqqq" localSheetId="14" hidden="1">{#N/A,#N/A,TRUE,"Nagłówek"}</definedName>
    <definedName name="qqqqq" localSheetId="37" hidden="1">{#N/A,#N/A,TRUE,"Nagłówek"}</definedName>
    <definedName name="qqqqq" localSheetId="38" hidden="1">{#N/A,#N/A,TRUE,"Nagłówek"}</definedName>
    <definedName name="qqqqq" localSheetId="39" hidden="1">{#N/A,#N/A,TRUE,"Nagłówek"}</definedName>
    <definedName name="qqqqq" localSheetId="19" hidden="1">{#N/A,#N/A,TRUE,"Nagłówek"}</definedName>
    <definedName name="qqqqq" localSheetId="9" hidden="1">{#N/A,#N/A,TRUE,"Nagłówek"}</definedName>
    <definedName name="qqqqq" localSheetId="34" hidden="1">{#N/A,#N/A,TRUE,"Nagłówek"}</definedName>
    <definedName name="qqqqq" hidden="1">{#N/A,#N/A,TRUE,"Nagłówek"}</definedName>
    <definedName name="restate" localSheetId="43">#REF!</definedName>
    <definedName name="restate" localSheetId="52">#REF!</definedName>
    <definedName name="restate" localSheetId="28">#REF!</definedName>
    <definedName name="restate" localSheetId="36">#REF!</definedName>
    <definedName name="restate" localSheetId="7">#REF!</definedName>
    <definedName name="restate" localSheetId="26">#REF!</definedName>
    <definedName name="restate" localSheetId="23">#REF!</definedName>
    <definedName name="restate" localSheetId="22">#REF!</definedName>
    <definedName name="restate" localSheetId="39">#REF!</definedName>
    <definedName name="restate" localSheetId="56">#REF!</definedName>
    <definedName name="restate" localSheetId="19">#REF!</definedName>
    <definedName name="restate">#REF!</definedName>
    <definedName name="ret" localSheetId="15" hidden="1">{#N/A,#N/A,TRUE,"Nagłówek"}</definedName>
    <definedName name="ret" localSheetId="40" hidden="1">{#N/A,#N/A,TRUE,"Nagłówek"}</definedName>
    <definedName name="ret" localSheetId="41" hidden="1">{#N/A,#N/A,TRUE,"Nagłówek"}</definedName>
    <definedName name="ret" localSheetId="42" hidden="1">{#N/A,#N/A,TRUE,"Nagłówek"}</definedName>
    <definedName name="ret" localSheetId="43" hidden="1">{#N/A,#N/A,TRUE,"Nagłówek"}</definedName>
    <definedName name="ret" localSheetId="16" hidden="1">{#N/A,#N/A,TRUE,"Nagłówek"}</definedName>
    <definedName name="ret" localSheetId="44" hidden="1">{#N/A,#N/A,TRUE,"Nagłówek"}</definedName>
    <definedName name="ret" localSheetId="45" hidden="1">{#N/A,#N/A,TRUE,"Nagłówek"}</definedName>
    <definedName name="ret" localSheetId="46" hidden="1">{#N/A,#N/A,TRUE,"Nagłówek"}</definedName>
    <definedName name="ret" localSheetId="47" hidden="1">{#N/A,#N/A,TRUE,"Nagłówek"}</definedName>
    <definedName name="ret" localSheetId="48" hidden="1">{#N/A,#N/A,TRUE,"Nagłówek"}</definedName>
    <definedName name="ret" localSheetId="49" hidden="1">{#N/A,#N/A,TRUE,"Nagłówek"}</definedName>
    <definedName name="ret" localSheetId="50" hidden="1">{#N/A,#N/A,TRUE,"Nagłówek"}</definedName>
    <definedName name="ret" localSheetId="51" hidden="1">{#N/A,#N/A,TRUE,"Nagłówek"}</definedName>
    <definedName name="ret" localSheetId="52" hidden="1">{#N/A,#N/A,TRUE,"Nagłówek"}</definedName>
    <definedName name="ret" localSheetId="12" hidden="1">{#N/A,#N/A,TRUE,"Nagłówek"}</definedName>
    <definedName name="ret" localSheetId="13" hidden="1">{#N/A,#N/A,TRUE,"Nagłówek"}</definedName>
    <definedName name="ret" localSheetId="33" hidden="1">{#N/A,#N/A,TRUE,"Nagłówek"}</definedName>
    <definedName name="ret" localSheetId="10" hidden="1">{#N/A,#N/A,TRUE,"Nagłówek"}</definedName>
    <definedName name="ret" localSheetId="29" hidden="1">{#N/A,#N/A,TRUE,"Nagłówek"}</definedName>
    <definedName name="ret" localSheetId="32" hidden="1">{#N/A,#N/A,TRUE,"Nagłówek"}</definedName>
    <definedName name="ret" localSheetId="11" hidden="1">{#N/A,#N/A,TRUE,"Nagłówek"}</definedName>
    <definedName name="ret" localSheetId="36" hidden="1">{#N/A,#N/A,TRUE,"Nagłówek"}</definedName>
    <definedName name="ret" localSheetId="35" hidden="1">{#N/A,#N/A,TRUE,"Nagłówek"}</definedName>
    <definedName name="ret" localSheetId="7" hidden="1">{#N/A,#N/A,TRUE,"Nagłówek"}</definedName>
    <definedName name="ret" localSheetId="25" hidden="1">{#N/A,#N/A,TRUE,"Nagłówek"}</definedName>
    <definedName name="ret" localSheetId="26" hidden="1">{#N/A,#N/A,TRUE,"Nagłówek"}</definedName>
    <definedName name="ret" localSheetId="24" hidden="1">{#N/A,#N/A,TRUE,"Nagłówek"}</definedName>
    <definedName name="ret" localSheetId="31" hidden="1">{#N/A,#N/A,TRUE,"Nagłówek"}</definedName>
    <definedName name="ret" localSheetId="18" hidden="1">{#N/A,#N/A,TRUE,"Nagłówek"}</definedName>
    <definedName name="ret" localSheetId="54" hidden="1">{#N/A,#N/A,TRUE,"Nagłówek"}</definedName>
    <definedName name="ret" localSheetId="30" hidden="1">{#N/A,#N/A,TRUE,"Nagłówek"}</definedName>
    <definedName name="ret" localSheetId="14" hidden="1">{#N/A,#N/A,TRUE,"Nagłówek"}</definedName>
    <definedName name="ret" localSheetId="37" hidden="1">{#N/A,#N/A,TRUE,"Nagłówek"}</definedName>
    <definedName name="ret" localSheetId="38" hidden="1">{#N/A,#N/A,TRUE,"Nagłówek"}</definedName>
    <definedName name="ret" localSheetId="39" hidden="1">{#N/A,#N/A,TRUE,"Nagłówek"}</definedName>
    <definedName name="ret" localSheetId="19" hidden="1">{#N/A,#N/A,TRUE,"Nagłówek"}</definedName>
    <definedName name="ret" localSheetId="9" hidden="1">{#N/A,#N/A,TRUE,"Nagłówek"}</definedName>
    <definedName name="ret" localSheetId="34" hidden="1">{#N/A,#N/A,TRUE,"Nagłówek"}</definedName>
    <definedName name="ret" hidden="1">{#N/A,#N/A,TRUE,"Nagłówek"}</definedName>
    <definedName name="reteth">'[13]Spis - Wylaczenia'!$B$59</definedName>
    <definedName name="rhtrfhn">[14]ster!$B$2</definedName>
    <definedName name="RKDP" localSheetId="43">#REF!</definedName>
    <definedName name="RKDP" localSheetId="52">#REF!</definedName>
    <definedName name="RKDP" localSheetId="28">#REF!</definedName>
    <definedName name="RKDP" localSheetId="36">#REF!</definedName>
    <definedName name="RKDP" localSheetId="7">#REF!</definedName>
    <definedName name="RKDP" localSheetId="26">#REF!</definedName>
    <definedName name="RKDP" localSheetId="23">#REF!</definedName>
    <definedName name="RKDP" localSheetId="22">#REF!</definedName>
    <definedName name="RKDP" localSheetId="39">#REF!</definedName>
    <definedName name="RKDP" localSheetId="56">#REF!</definedName>
    <definedName name="RKDP" localSheetId="19">#REF!</definedName>
    <definedName name="RKDP">#REF!</definedName>
    <definedName name="ROK">'[12]spis tresci'!$B$49</definedName>
    <definedName name="rokpoprzedni">[15]ster!$B$6</definedName>
    <definedName name="RPK" localSheetId="43">#REF!</definedName>
    <definedName name="RPK" localSheetId="52">#REF!</definedName>
    <definedName name="RPK" localSheetId="28">#REF!</definedName>
    <definedName name="RPK" localSheetId="36">#REF!</definedName>
    <definedName name="RPK" localSheetId="7">#REF!</definedName>
    <definedName name="RPK" localSheetId="26">#REF!</definedName>
    <definedName name="RPK" localSheetId="23">#REF!</definedName>
    <definedName name="RPK" localSheetId="22">#REF!</definedName>
    <definedName name="RPK" localSheetId="39">#REF!</definedName>
    <definedName name="RPK" localSheetId="56">#REF!</definedName>
    <definedName name="RPK" localSheetId="19">#REF!</definedName>
    <definedName name="RPK">#REF!</definedName>
    <definedName name="RPKMSR" localSheetId="43">#REF!</definedName>
    <definedName name="RPKMSR" localSheetId="52">#REF!</definedName>
    <definedName name="RPKMSR" localSheetId="28">#REF!</definedName>
    <definedName name="RPKMSR" localSheetId="36">#REF!</definedName>
    <definedName name="RPKMSR" localSheetId="7">#REF!</definedName>
    <definedName name="RPKMSR" localSheetId="26">#REF!</definedName>
    <definedName name="RPKMSR" localSheetId="23">#REF!</definedName>
    <definedName name="RPKMSR" localSheetId="22">#REF!</definedName>
    <definedName name="RPKMSR" localSheetId="39">#REF!</definedName>
    <definedName name="RPKMSR" localSheetId="56">#REF!</definedName>
    <definedName name="RPKMSR" localSheetId="19">#REF!</definedName>
    <definedName name="RPKMSR">#REF!</definedName>
    <definedName name="rrr" localSheetId="15" hidden="1">{#N/A,#N/A,TRUE,"Nagłówek"}</definedName>
    <definedName name="rrr" localSheetId="40" hidden="1">{#N/A,#N/A,TRUE,"Nagłówek"}</definedName>
    <definedName name="rrr" localSheetId="41" hidden="1">{#N/A,#N/A,TRUE,"Nagłówek"}</definedName>
    <definedName name="rrr" localSheetId="42" hidden="1">{#N/A,#N/A,TRUE,"Nagłówek"}</definedName>
    <definedName name="rrr" localSheetId="43" hidden="1">{#N/A,#N/A,TRUE,"Nagłówek"}</definedName>
    <definedName name="rrr" localSheetId="16" hidden="1">{#N/A,#N/A,TRUE,"Nagłówek"}</definedName>
    <definedName name="rrr" localSheetId="44" hidden="1">{#N/A,#N/A,TRUE,"Nagłówek"}</definedName>
    <definedName name="rrr" localSheetId="45" hidden="1">{#N/A,#N/A,TRUE,"Nagłówek"}</definedName>
    <definedName name="rrr" localSheetId="46" hidden="1">{#N/A,#N/A,TRUE,"Nagłówek"}</definedName>
    <definedName name="rrr" localSheetId="47" hidden="1">{#N/A,#N/A,TRUE,"Nagłówek"}</definedName>
    <definedName name="rrr" localSheetId="48" hidden="1">{#N/A,#N/A,TRUE,"Nagłówek"}</definedName>
    <definedName name="rrr" localSheetId="49" hidden="1">{#N/A,#N/A,TRUE,"Nagłówek"}</definedName>
    <definedName name="rrr" localSheetId="50" hidden="1">{#N/A,#N/A,TRUE,"Nagłówek"}</definedName>
    <definedName name="rrr" localSheetId="51" hidden="1">{#N/A,#N/A,TRUE,"Nagłówek"}</definedName>
    <definedName name="rrr" localSheetId="52" hidden="1">{#N/A,#N/A,TRUE,"Nagłówek"}</definedName>
    <definedName name="rrr" localSheetId="12" hidden="1">{#N/A,#N/A,TRUE,"Nagłówek"}</definedName>
    <definedName name="rrr" localSheetId="13" hidden="1">{#N/A,#N/A,TRUE,"Nagłówek"}</definedName>
    <definedName name="rrr" localSheetId="33" hidden="1">{#N/A,#N/A,TRUE,"Nagłówek"}</definedName>
    <definedName name="rrr" localSheetId="10" hidden="1">{#N/A,#N/A,TRUE,"Nagłówek"}</definedName>
    <definedName name="rrr" localSheetId="29" hidden="1">{#N/A,#N/A,TRUE,"Nagłówek"}</definedName>
    <definedName name="rrr" localSheetId="32" hidden="1">{#N/A,#N/A,TRUE,"Nagłówek"}</definedName>
    <definedName name="rrr" localSheetId="11" hidden="1">{#N/A,#N/A,TRUE,"Nagłówek"}</definedName>
    <definedName name="rrr" localSheetId="36" hidden="1">{#N/A,#N/A,TRUE,"Nagłówek"}</definedName>
    <definedName name="rrr" localSheetId="35" hidden="1">{#N/A,#N/A,TRUE,"Nagłówek"}</definedName>
    <definedName name="rrr" localSheetId="7" hidden="1">{#N/A,#N/A,TRUE,"Nagłówek"}</definedName>
    <definedName name="rrr" localSheetId="25" hidden="1">{#N/A,#N/A,TRUE,"Nagłówek"}</definedName>
    <definedName name="rrr" localSheetId="26" hidden="1">{#N/A,#N/A,TRUE,"Nagłówek"}</definedName>
    <definedName name="rrr" localSheetId="24" hidden="1">{#N/A,#N/A,TRUE,"Nagłówek"}</definedName>
    <definedName name="rrr" localSheetId="31" hidden="1">{#N/A,#N/A,TRUE,"Nagłówek"}</definedName>
    <definedName name="rrr" localSheetId="18" hidden="1">{#N/A,#N/A,TRUE,"Nagłówek"}</definedName>
    <definedName name="rrr" localSheetId="54" hidden="1">{#N/A,#N/A,TRUE,"Nagłówek"}</definedName>
    <definedName name="rrr" localSheetId="30" hidden="1">{#N/A,#N/A,TRUE,"Nagłówek"}</definedName>
    <definedName name="rrr" localSheetId="14" hidden="1">{#N/A,#N/A,TRUE,"Nagłówek"}</definedName>
    <definedName name="rrr" localSheetId="37" hidden="1">{#N/A,#N/A,TRUE,"Nagłówek"}</definedName>
    <definedName name="rrr" localSheetId="38" hidden="1">{#N/A,#N/A,TRUE,"Nagłówek"}</definedName>
    <definedName name="rrr" localSheetId="39" hidden="1">{#N/A,#N/A,TRUE,"Nagłówek"}</definedName>
    <definedName name="rrr" localSheetId="19" hidden="1">{#N/A,#N/A,TRUE,"Nagłówek"}</definedName>
    <definedName name="rrr" localSheetId="9" hidden="1">{#N/A,#N/A,TRUE,"Nagłówek"}</definedName>
    <definedName name="rrr" localSheetId="34" hidden="1">{#N/A,#N/A,TRUE,"Nagłówek"}</definedName>
    <definedName name="rrr" hidden="1">{#N/A,#N/A,TRUE,"Nagłówek"}</definedName>
    <definedName name="rthy" localSheetId="15" hidden="1">{#N/A,#N/A,FALSE,"T-1";#N/A,#N/A,FALSE,"T-2";#N/A,#N/A,FALSE,"T-3";#N/A,#N/A,FALSE,"T-4";#N/A,#N/A,FALSE,"T-5";#N/A,#N/A,FALSE,"T-6";#N/A,#N/A,FALSE,"T-7";#N/A,#N/A,FALSE,"T-8";#N/A,#N/A,FALSE,"T-9";#N/A,#N/A,FALSE,"T-10";#N/A,#N/A,FALSE,"T-11";#N/A,#N/A,FALSE,"T-12"}</definedName>
    <definedName name="rthy" localSheetId="40" hidden="1">{#N/A,#N/A,FALSE,"T-1";#N/A,#N/A,FALSE,"T-2";#N/A,#N/A,FALSE,"T-3";#N/A,#N/A,FALSE,"T-4";#N/A,#N/A,FALSE,"T-5";#N/A,#N/A,FALSE,"T-6";#N/A,#N/A,FALSE,"T-7";#N/A,#N/A,FALSE,"T-8";#N/A,#N/A,FALSE,"T-9";#N/A,#N/A,FALSE,"T-10";#N/A,#N/A,FALSE,"T-11";#N/A,#N/A,FALSE,"T-12"}</definedName>
    <definedName name="rthy" localSheetId="41" hidden="1">{#N/A,#N/A,FALSE,"T-1";#N/A,#N/A,FALSE,"T-2";#N/A,#N/A,FALSE,"T-3";#N/A,#N/A,FALSE,"T-4";#N/A,#N/A,FALSE,"T-5";#N/A,#N/A,FALSE,"T-6";#N/A,#N/A,FALSE,"T-7";#N/A,#N/A,FALSE,"T-8";#N/A,#N/A,FALSE,"T-9";#N/A,#N/A,FALSE,"T-10";#N/A,#N/A,FALSE,"T-11";#N/A,#N/A,FALSE,"T-12"}</definedName>
    <definedName name="rthy" localSheetId="42" hidden="1">{#N/A,#N/A,FALSE,"T-1";#N/A,#N/A,FALSE,"T-2";#N/A,#N/A,FALSE,"T-3";#N/A,#N/A,FALSE,"T-4";#N/A,#N/A,FALSE,"T-5";#N/A,#N/A,FALSE,"T-6";#N/A,#N/A,FALSE,"T-7";#N/A,#N/A,FALSE,"T-8";#N/A,#N/A,FALSE,"T-9";#N/A,#N/A,FALSE,"T-10";#N/A,#N/A,FALSE,"T-11";#N/A,#N/A,FALSE,"T-12"}</definedName>
    <definedName name="rthy" localSheetId="43" hidden="1">{#N/A,#N/A,FALSE,"T-1";#N/A,#N/A,FALSE,"T-2";#N/A,#N/A,FALSE,"T-3";#N/A,#N/A,FALSE,"T-4";#N/A,#N/A,FALSE,"T-5";#N/A,#N/A,FALSE,"T-6";#N/A,#N/A,FALSE,"T-7";#N/A,#N/A,FALSE,"T-8";#N/A,#N/A,FALSE,"T-9";#N/A,#N/A,FALSE,"T-10";#N/A,#N/A,FALSE,"T-11";#N/A,#N/A,FALSE,"T-12"}</definedName>
    <definedName name="rthy" localSheetId="16" hidden="1">{#N/A,#N/A,FALSE,"T-1";#N/A,#N/A,FALSE,"T-2";#N/A,#N/A,FALSE,"T-3";#N/A,#N/A,FALSE,"T-4";#N/A,#N/A,FALSE,"T-5";#N/A,#N/A,FALSE,"T-6";#N/A,#N/A,FALSE,"T-7";#N/A,#N/A,FALSE,"T-8";#N/A,#N/A,FALSE,"T-9";#N/A,#N/A,FALSE,"T-10";#N/A,#N/A,FALSE,"T-11";#N/A,#N/A,FALSE,"T-12"}</definedName>
    <definedName name="rthy" localSheetId="44" hidden="1">{#N/A,#N/A,FALSE,"T-1";#N/A,#N/A,FALSE,"T-2";#N/A,#N/A,FALSE,"T-3";#N/A,#N/A,FALSE,"T-4";#N/A,#N/A,FALSE,"T-5";#N/A,#N/A,FALSE,"T-6";#N/A,#N/A,FALSE,"T-7";#N/A,#N/A,FALSE,"T-8";#N/A,#N/A,FALSE,"T-9";#N/A,#N/A,FALSE,"T-10";#N/A,#N/A,FALSE,"T-11";#N/A,#N/A,FALSE,"T-12"}</definedName>
    <definedName name="rthy" localSheetId="45" hidden="1">{#N/A,#N/A,FALSE,"T-1";#N/A,#N/A,FALSE,"T-2";#N/A,#N/A,FALSE,"T-3";#N/A,#N/A,FALSE,"T-4";#N/A,#N/A,FALSE,"T-5";#N/A,#N/A,FALSE,"T-6";#N/A,#N/A,FALSE,"T-7";#N/A,#N/A,FALSE,"T-8";#N/A,#N/A,FALSE,"T-9";#N/A,#N/A,FALSE,"T-10";#N/A,#N/A,FALSE,"T-11";#N/A,#N/A,FALSE,"T-12"}</definedName>
    <definedName name="rthy" localSheetId="46" hidden="1">{#N/A,#N/A,FALSE,"T-1";#N/A,#N/A,FALSE,"T-2";#N/A,#N/A,FALSE,"T-3";#N/A,#N/A,FALSE,"T-4";#N/A,#N/A,FALSE,"T-5";#N/A,#N/A,FALSE,"T-6";#N/A,#N/A,FALSE,"T-7";#N/A,#N/A,FALSE,"T-8";#N/A,#N/A,FALSE,"T-9";#N/A,#N/A,FALSE,"T-10";#N/A,#N/A,FALSE,"T-11";#N/A,#N/A,FALSE,"T-12"}</definedName>
    <definedName name="rthy" localSheetId="47" hidden="1">{#N/A,#N/A,FALSE,"T-1";#N/A,#N/A,FALSE,"T-2";#N/A,#N/A,FALSE,"T-3";#N/A,#N/A,FALSE,"T-4";#N/A,#N/A,FALSE,"T-5";#N/A,#N/A,FALSE,"T-6";#N/A,#N/A,FALSE,"T-7";#N/A,#N/A,FALSE,"T-8";#N/A,#N/A,FALSE,"T-9";#N/A,#N/A,FALSE,"T-10";#N/A,#N/A,FALSE,"T-11";#N/A,#N/A,FALSE,"T-12"}</definedName>
    <definedName name="rthy" localSheetId="48" hidden="1">{#N/A,#N/A,FALSE,"T-1";#N/A,#N/A,FALSE,"T-2";#N/A,#N/A,FALSE,"T-3";#N/A,#N/A,FALSE,"T-4";#N/A,#N/A,FALSE,"T-5";#N/A,#N/A,FALSE,"T-6";#N/A,#N/A,FALSE,"T-7";#N/A,#N/A,FALSE,"T-8";#N/A,#N/A,FALSE,"T-9";#N/A,#N/A,FALSE,"T-10";#N/A,#N/A,FALSE,"T-11";#N/A,#N/A,FALSE,"T-12"}</definedName>
    <definedName name="rthy" localSheetId="49" hidden="1">{#N/A,#N/A,FALSE,"T-1";#N/A,#N/A,FALSE,"T-2";#N/A,#N/A,FALSE,"T-3";#N/A,#N/A,FALSE,"T-4";#N/A,#N/A,FALSE,"T-5";#N/A,#N/A,FALSE,"T-6";#N/A,#N/A,FALSE,"T-7";#N/A,#N/A,FALSE,"T-8";#N/A,#N/A,FALSE,"T-9";#N/A,#N/A,FALSE,"T-10";#N/A,#N/A,FALSE,"T-11";#N/A,#N/A,FALSE,"T-12"}</definedName>
    <definedName name="rthy" localSheetId="50" hidden="1">{#N/A,#N/A,FALSE,"T-1";#N/A,#N/A,FALSE,"T-2";#N/A,#N/A,FALSE,"T-3";#N/A,#N/A,FALSE,"T-4";#N/A,#N/A,FALSE,"T-5";#N/A,#N/A,FALSE,"T-6";#N/A,#N/A,FALSE,"T-7";#N/A,#N/A,FALSE,"T-8";#N/A,#N/A,FALSE,"T-9";#N/A,#N/A,FALSE,"T-10";#N/A,#N/A,FALSE,"T-11";#N/A,#N/A,FALSE,"T-12"}</definedName>
    <definedName name="rthy" localSheetId="51" hidden="1">{#N/A,#N/A,FALSE,"T-1";#N/A,#N/A,FALSE,"T-2";#N/A,#N/A,FALSE,"T-3";#N/A,#N/A,FALSE,"T-4";#N/A,#N/A,FALSE,"T-5";#N/A,#N/A,FALSE,"T-6";#N/A,#N/A,FALSE,"T-7";#N/A,#N/A,FALSE,"T-8";#N/A,#N/A,FALSE,"T-9";#N/A,#N/A,FALSE,"T-10";#N/A,#N/A,FALSE,"T-11";#N/A,#N/A,FALSE,"T-12"}</definedName>
    <definedName name="rthy" localSheetId="52" hidden="1">{#N/A,#N/A,FALSE,"T-1";#N/A,#N/A,FALSE,"T-2";#N/A,#N/A,FALSE,"T-3";#N/A,#N/A,FALSE,"T-4";#N/A,#N/A,FALSE,"T-5";#N/A,#N/A,FALSE,"T-6";#N/A,#N/A,FALSE,"T-7";#N/A,#N/A,FALSE,"T-8";#N/A,#N/A,FALSE,"T-9";#N/A,#N/A,FALSE,"T-10";#N/A,#N/A,FALSE,"T-11";#N/A,#N/A,FALSE,"T-12"}</definedName>
    <definedName name="rthy" localSheetId="12" hidden="1">{#N/A,#N/A,FALSE,"T-1";#N/A,#N/A,FALSE,"T-2";#N/A,#N/A,FALSE,"T-3";#N/A,#N/A,FALSE,"T-4";#N/A,#N/A,FALSE,"T-5";#N/A,#N/A,FALSE,"T-6";#N/A,#N/A,FALSE,"T-7";#N/A,#N/A,FALSE,"T-8";#N/A,#N/A,FALSE,"T-9";#N/A,#N/A,FALSE,"T-10";#N/A,#N/A,FALSE,"T-11";#N/A,#N/A,FALSE,"T-12"}</definedName>
    <definedName name="rthy" localSheetId="13" hidden="1">{#N/A,#N/A,FALSE,"T-1";#N/A,#N/A,FALSE,"T-2";#N/A,#N/A,FALSE,"T-3";#N/A,#N/A,FALSE,"T-4";#N/A,#N/A,FALSE,"T-5";#N/A,#N/A,FALSE,"T-6";#N/A,#N/A,FALSE,"T-7";#N/A,#N/A,FALSE,"T-8";#N/A,#N/A,FALSE,"T-9";#N/A,#N/A,FALSE,"T-10";#N/A,#N/A,FALSE,"T-11";#N/A,#N/A,FALSE,"T-12"}</definedName>
    <definedName name="rthy" localSheetId="33" hidden="1">{#N/A,#N/A,FALSE,"T-1";#N/A,#N/A,FALSE,"T-2";#N/A,#N/A,FALSE,"T-3";#N/A,#N/A,FALSE,"T-4";#N/A,#N/A,FALSE,"T-5";#N/A,#N/A,FALSE,"T-6";#N/A,#N/A,FALSE,"T-7";#N/A,#N/A,FALSE,"T-8";#N/A,#N/A,FALSE,"T-9";#N/A,#N/A,FALSE,"T-10";#N/A,#N/A,FALSE,"T-11";#N/A,#N/A,FALSE,"T-12"}</definedName>
    <definedName name="rthy" localSheetId="10" hidden="1">{#N/A,#N/A,FALSE,"T-1";#N/A,#N/A,FALSE,"T-2";#N/A,#N/A,FALSE,"T-3";#N/A,#N/A,FALSE,"T-4";#N/A,#N/A,FALSE,"T-5";#N/A,#N/A,FALSE,"T-6";#N/A,#N/A,FALSE,"T-7";#N/A,#N/A,FALSE,"T-8";#N/A,#N/A,FALSE,"T-9";#N/A,#N/A,FALSE,"T-10";#N/A,#N/A,FALSE,"T-11";#N/A,#N/A,FALSE,"T-12"}</definedName>
    <definedName name="rthy" localSheetId="29" hidden="1">{#N/A,#N/A,FALSE,"T-1";#N/A,#N/A,FALSE,"T-2";#N/A,#N/A,FALSE,"T-3";#N/A,#N/A,FALSE,"T-4";#N/A,#N/A,FALSE,"T-5";#N/A,#N/A,FALSE,"T-6";#N/A,#N/A,FALSE,"T-7";#N/A,#N/A,FALSE,"T-8";#N/A,#N/A,FALSE,"T-9";#N/A,#N/A,FALSE,"T-10";#N/A,#N/A,FALSE,"T-11";#N/A,#N/A,FALSE,"T-12"}</definedName>
    <definedName name="rthy" localSheetId="32" hidden="1">{#N/A,#N/A,FALSE,"T-1";#N/A,#N/A,FALSE,"T-2";#N/A,#N/A,FALSE,"T-3";#N/A,#N/A,FALSE,"T-4";#N/A,#N/A,FALSE,"T-5";#N/A,#N/A,FALSE,"T-6";#N/A,#N/A,FALSE,"T-7";#N/A,#N/A,FALSE,"T-8";#N/A,#N/A,FALSE,"T-9";#N/A,#N/A,FALSE,"T-10";#N/A,#N/A,FALSE,"T-11";#N/A,#N/A,FALSE,"T-12"}</definedName>
    <definedName name="rthy" localSheetId="11" hidden="1">{#N/A,#N/A,FALSE,"T-1";#N/A,#N/A,FALSE,"T-2";#N/A,#N/A,FALSE,"T-3";#N/A,#N/A,FALSE,"T-4";#N/A,#N/A,FALSE,"T-5";#N/A,#N/A,FALSE,"T-6";#N/A,#N/A,FALSE,"T-7";#N/A,#N/A,FALSE,"T-8";#N/A,#N/A,FALSE,"T-9";#N/A,#N/A,FALSE,"T-10";#N/A,#N/A,FALSE,"T-11";#N/A,#N/A,FALSE,"T-12"}</definedName>
    <definedName name="rthy" localSheetId="36" hidden="1">{#N/A,#N/A,FALSE,"T-1";#N/A,#N/A,FALSE,"T-2";#N/A,#N/A,FALSE,"T-3";#N/A,#N/A,FALSE,"T-4";#N/A,#N/A,FALSE,"T-5";#N/A,#N/A,FALSE,"T-6";#N/A,#N/A,FALSE,"T-7";#N/A,#N/A,FALSE,"T-8";#N/A,#N/A,FALSE,"T-9";#N/A,#N/A,FALSE,"T-10";#N/A,#N/A,FALSE,"T-11";#N/A,#N/A,FALSE,"T-12"}</definedName>
    <definedName name="rthy" localSheetId="35" hidden="1">{#N/A,#N/A,FALSE,"T-1";#N/A,#N/A,FALSE,"T-2";#N/A,#N/A,FALSE,"T-3";#N/A,#N/A,FALSE,"T-4";#N/A,#N/A,FALSE,"T-5";#N/A,#N/A,FALSE,"T-6";#N/A,#N/A,FALSE,"T-7";#N/A,#N/A,FALSE,"T-8";#N/A,#N/A,FALSE,"T-9";#N/A,#N/A,FALSE,"T-10";#N/A,#N/A,FALSE,"T-11";#N/A,#N/A,FALSE,"T-12"}</definedName>
    <definedName name="rthy" localSheetId="7" hidden="1">{#N/A,#N/A,FALSE,"T-1";#N/A,#N/A,FALSE,"T-2";#N/A,#N/A,FALSE,"T-3";#N/A,#N/A,FALSE,"T-4";#N/A,#N/A,FALSE,"T-5";#N/A,#N/A,FALSE,"T-6";#N/A,#N/A,FALSE,"T-7";#N/A,#N/A,FALSE,"T-8";#N/A,#N/A,FALSE,"T-9";#N/A,#N/A,FALSE,"T-10";#N/A,#N/A,FALSE,"T-11";#N/A,#N/A,FALSE,"T-12"}</definedName>
    <definedName name="rthy" localSheetId="25" hidden="1">{#N/A,#N/A,FALSE,"T-1";#N/A,#N/A,FALSE,"T-2";#N/A,#N/A,FALSE,"T-3";#N/A,#N/A,FALSE,"T-4";#N/A,#N/A,FALSE,"T-5";#N/A,#N/A,FALSE,"T-6";#N/A,#N/A,FALSE,"T-7";#N/A,#N/A,FALSE,"T-8";#N/A,#N/A,FALSE,"T-9";#N/A,#N/A,FALSE,"T-10";#N/A,#N/A,FALSE,"T-11";#N/A,#N/A,FALSE,"T-12"}</definedName>
    <definedName name="rthy" localSheetId="26" hidden="1">{#N/A,#N/A,FALSE,"T-1";#N/A,#N/A,FALSE,"T-2";#N/A,#N/A,FALSE,"T-3";#N/A,#N/A,FALSE,"T-4";#N/A,#N/A,FALSE,"T-5";#N/A,#N/A,FALSE,"T-6";#N/A,#N/A,FALSE,"T-7";#N/A,#N/A,FALSE,"T-8";#N/A,#N/A,FALSE,"T-9";#N/A,#N/A,FALSE,"T-10";#N/A,#N/A,FALSE,"T-11";#N/A,#N/A,FALSE,"T-12"}</definedName>
    <definedName name="rthy" localSheetId="24" hidden="1">{#N/A,#N/A,FALSE,"T-1";#N/A,#N/A,FALSE,"T-2";#N/A,#N/A,FALSE,"T-3";#N/A,#N/A,FALSE,"T-4";#N/A,#N/A,FALSE,"T-5";#N/A,#N/A,FALSE,"T-6";#N/A,#N/A,FALSE,"T-7";#N/A,#N/A,FALSE,"T-8";#N/A,#N/A,FALSE,"T-9";#N/A,#N/A,FALSE,"T-10";#N/A,#N/A,FALSE,"T-11";#N/A,#N/A,FALSE,"T-12"}</definedName>
    <definedName name="rthy" localSheetId="31" hidden="1">{#N/A,#N/A,FALSE,"T-1";#N/A,#N/A,FALSE,"T-2";#N/A,#N/A,FALSE,"T-3";#N/A,#N/A,FALSE,"T-4";#N/A,#N/A,FALSE,"T-5";#N/A,#N/A,FALSE,"T-6";#N/A,#N/A,FALSE,"T-7";#N/A,#N/A,FALSE,"T-8";#N/A,#N/A,FALSE,"T-9";#N/A,#N/A,FALSE,"T-10";#N/A,#N/A,FALSE,"T-11";#N/A,#N/A,FALSE,"T-12"}</definedName>
    <definedName name="rthy" localSheetId="18" hidden="1">{#N/A,#N/A,FALSE,"T-1";#N/A,#N/A,FALSE,"T-2";#N/A,#N/A,FALSE,"T-3";#N/A,#N/A,FALSE,"T-4";#N/A,#N/A,FALSE,"T-5";#N/A,#N/A,FALSE,"T-6";#N/A,#N/A,FALSE,"T-7";#N/A,#N/A,FALSE,"T-8";#N/A,#N/A,FALSE,"T-9";#N/A,#N/A,FALSE,"T-10";#N/A,#N/A,FALSE,"T-11";#N/A,#N/A,FALSE,"T-12"}</definedName>
    <definedName name="rthy" localSheetId="54" hidden="1">{#N/A,#N/A,FALSE,"T-1";#N/A,#N/A,FALSE,"T-2";#N/A,#N/A,FALSE,"T-3";#N/A,#N/A,FALSE,"T-4";#N/A,#N/A,FALSE,"T-5";#N/A,#N/A,FALSE,"T-6";#N/A,#N/A,FALSE,"T-7";#N/A,#N/A,FALSE,"T-8";#N/A,#N/A,FALSE,"T-9";#N/A,#N/A,FALSE,"T-10";#N/A,#N/A,FALSE,"T-11";#N/A,#N/A,FALSE,"T-12"}</definedName>
    <definedName name="rthy" localSheetId="30" hidden="1">{#N/A,#N/A,FALSE,"T-1";#N/A,#N/A,FALSE,"T-2";#N/A,#N/A,FALSE,"T-3";#N/A,#N/A,FALSE,"T-4";#N/A,#N/A,FALSE,"T-5";#N/A,#N/A,FALSE,"T-6";#N/A,#N/A,FALSE,"T-7";#N/A,#N/A,FALSE,"T-8";#N/A,#N/A,FALSE,"T-9";#N/A,#N/A,FALSE,"T-10";#N/A,#N/A,FALSE,"T-11";#N/A,#N/A,FALSE,"T-12"}</definedName>
    <definedName name="rthy" localSheetId="14" hidden="1">{#N/A,#N/A,FALSE,"T-1";#N/A,#N/A,FALSE,"T-2";#N/A,#N/A,FALSE,"T-3";#N/A,#N/A,FALSE,"T-4";#N/A,#N/A,FALSE,"T-5";#N/A,#N/A,FALSE,"T-6";#N/A,#N/A,FALSE,"T-7";#N/A,#N/A,FALSE,"T-8";#N/A,#N/A,FALSE,"T-9";#N/A,#N/A,FALSE,"T-10";#N/A,#N/A,FALSE,"T-11";#N/A,#N/A,FALSE,"T-12"}</definedName>
    <definedName name="rthy" localSheetId="37" hidden="1">{#N/A,#N/A,FALSE,"T-1";#N/A,#N/A,FALSE,"T-2";#N/A,#N/A,FALSE,"T-3";#N/A,#N/A,FALSE,"T-4";#N/A,#N/A,FALSE,"T-5";#N/A,#N/A,FALSE,"T-6";#N/A,#N/A,FALSE,"T-7";#N/A,#N/A,FALSE,"T-8";#N/A,#N/A,FALSE,"T-9";#N/A,#N/A,FALSE,"T-10";#N/A,#N/A,FALSE,"T-11";#N/A,#N/A,FALSE,"T-12"}</definedName>
    <definedName name="rthy" localSheetId="38" hidden="1">{#N/A,#N/A,FALSE,"T-1";#N/A,#N/A,FALSE,"T-2";#N/A,#N/A,FALSE,"T-3";#N/A,#N/A,FALSE,"T-4";#N/A,#N/A,FALSE,"T-5";#N/A,#N/A,FALSE,"T-6";#N/A,#N/A,FALSE,"T-7";#N/A,#N/A,FALSE,"T-8";#N/A,#N/A,FALSE,"T-9";#N/A,#N/A,FALSE,"T-10";#N/A,#N/A,FALSE,"T-11";#N/A,#N/A,FALSE,"T-12"}</definedName>
    <definedName name="rthy" localSheetId="39" hidden="1">{#N/A,#N/A,FALSE,"T-1";#N/A,#N/A,FALSE,"T-2";#N/A,#N/A,FALSE,"T-3";#N/A,#N/A,FALSE,"T-4";#N/A,#N/A,FALSE,"T-5";#N/A,#N/A,FALSE,"T-6";#N/A,#N/A,FALSE,"T-7";#N/A,#N/A,FALSE,"T-8";#N/A,#N/A,FALSE,"T-9";#N/A,#N/A,FALSE,"T-10";#N/A,#N/A,FALSE,"T-11";#N/A,#N/A,FALSE,"T-12"}</definedName>
    <definedName name="rthy" localSheetId="19" hidden="1">{#N/A,#N/A,FALSE,"T-1";#N/A,#N/A,FALSE,"T-2";#N/A,#N/A,FALSE,"T-3";#N/A,#N/A,FALSE,"T-4";#N/A,#N/A,FALSE,"T-5";#N/A,#N/A,FALSE,"T-6";#N/A,#N/A,FALSE,"T-7";#N/A,#N/A,FALSE,"T-8";#N/A,#N/A,FALSE,"T-9";#N/A,#N/A,FALSE,"T-10";#N/A,#N/A,FALSE,"T-11";#N/A,#N/A,FALSE,"T-12"}</definedName>
    <definedName name="rthy" localSheetId="9" hidden="1">{#N/A,#N/A,FALSE,"T-1";#N/A,#N/A,FALSE,"T-2";#N/A,#N/A,FALSE,"T-3";#N/A,#N/A,FALSE,"T-4";#N/A,#N/A,FALSE,"T-5";#N/A,#N/A,FALSE,"T-6";#N/A,#N/A,FALSE,"T-7";#N/A,#N/A,FALSE,"T-8";#N/A,#N/A,FALSE,"T-9";#N/A,#N/A,FALSE,"T-10";#N/A,#N/A,FALSE,"T-11";#N/A,#N/A,FALSE,"T-12"}</definedName>
    <definedName name="rthy" localSheetId="34" hidden="1">{#N/A,#N/A,FALSE,"T-1";#N/A,#N/A,FALSE,"T-2";#N/A,#N/A,FALSE,"T-3";#N/A,#N/A,FALSE,"T-4";#N/A,#N/A,FALSE,"T-5";#N/A,#N/A,FALSE,"T-6";#N/A,#N/A,FALSE,"T-7";#N/A,#N/A,FALSE,"T-8";#N/A,#N/A,FALSE,"T-9";#N/A,#N/A,FALSE,"T-10";#N/A,#N/A,FALSE,"T-11";#N/A,#N/A,FALSE,"T-12"}</definedName>
    <definedName name="rthy" hidden="1">{#N/A,#N/A,FALSE,"T-1";#N/A,#N/A,FALSE,"T-2";#N/A,#N/A,FALSE,"T-3";#N/A,#N/A,FALSE,"T-4";#N/A,#N/A,FALSE,"T-5";#N/A,#N/A,FALSE,"T-6";#N/A,#N/A,FALSE,"T-7";#N/A,#N/A,FALSE,"T-8";#N/A,#N/A,FALSE,"T-9";#N/A,#N/A,FALSE,"T-10";#N/A,#N/A,FALSE,"T-11";#N/A,#N/A,FALSE,"T-12"}</definedName>
    <definedName name="rtyujtk">[14]ster!$B$2</definedName>
    <definedName name="ryjtio78o" localSheetId="43">#REF!</definedName>
    <definedName name="ryjtio78o" localSheetId="52">#REF!</definedName>
    <definedName name="ryjtio78o" localSheetId="28">#REF!</definedName>
    <definedName name="ryjtio78o" localSheetId="36">#REF!</definedName>
    <definedName name="ryjtio78o" localSheetId="7">#REF!</definedName>
    <definedName name="ryjtio78o" localSheetId="26">#REF!</definedName>
    <definedName name="ryjtio78o" localSheetId="23">#REF!</definedName>
    <definedName name="ryjtio78o" localSheetId="22">#REF!</definedName>
    <definedName name="ryjtio78o" localSheetId="39">#REF!</definedName>
    <definedName name="ryjtio78o" localSheetId="56">#REF!</definedName>
    <definedName name="ryjtio78o" localSheetId="19">#REF!</definedName>
    <definedName name="ryjtio78o">#REF!</definedName>
    <definedName name="Sales">'[4]#REF'!$B$5:$CC$20</definedName>
    <definedName name="SAPBEXdnldView" hidden="1">"18AM2I51DBVHLOTIZWWEC0X21"</definedName>
    <definedName name="SAPBEXsysID" hidden="1">"BWX"</definedName>
    <definedName name="sdfg" localSheetId="15" hidden="1">{#N/A,#N/A,TRUE,"Nagłówek"}</definedName>
    <definedName name="sdfg" localSheetId="40" hidden="1">{#N/A,#N/A,TRUE,"Nagłówek"}</definedName>
    <definedName name="sdfg" localSheetId="41" hidden="1">{#N/A,#N/A,TRUE,"Nagłówek"}</definedName>
    <definedName name="sdfg" localSheetId="42" hidden="1">{#N/A,#N/A,TRUE,"Nagłówek"}</definedName>
    <definedName name="sdfg" localSheetId="43" hidden="1">{#N/A,#N/A,TRUE,"Nagłówek"}</definedName>
    <definedName name="sdfg" localSheetId="16" hidden="1">{#N/A,#N/A,TRUE,"Nagłówek"}</definedName>
    <definedName name="sdfg" localSheetId="44" hidden="1">{#N/A,#N/A,TRUE,"Nagłówek"}</definedName>
    <definedName name="sdfg" localSheetId="45" hidden="1">{#N/A,#N/A,TRUE,"Nagłówek"}</definedName>
    <definedName name="sdfg" localSheetId="46" hidden="1">{#N/A,#N/A,TRUE,"Nagłówek"}</definedName>
    <definedName name="sdfg" localSheetId="47" hidden="1">{#N/A,#N/A,TRUE,"Nagłówek"}</definedName>
    <definedName name="sdfg" localSheetId="48" hidden="1">{#N/A,#N/A,TRUE,"Nagłówek"}</definedName>
    <definedName name="sdfg" localSheetId="49" hidden="1">{#N/A,#N/A,TRUE,"Nagłówek"}</definedName>
    <definedName name="sdfg" localSheetId="50" hidden="1">{#N/A,#N/A,TRUE,"Nagłówek"}</definedName>
    <definedName name="sdfg" localSheetId="51" hidden="1">{#N/A,#N/A,TRUE,"Nagłówek"}</definedName>
    <definedName name="sdfg" localSheetId="52" hidden="1">{#N/A,#N/A,TRUE,"Nagłówek"}</definedName>
    <definedName name="sdfg" localSheetId="12" hidden="1">{#N/A,#N/A,TRUE,"Nagłówek"}</definedName>
    <definedName name="sdfg" localSheetId="13" hidden="1">{#N/A,#N/A,TRUE,"Nagłówek"}</definedName>
    <definedName name="sdfg" localSheetId="33" hidden="1">{#N/A,#N/A,TRUE,"Nagłówek"}</definedName>
    <definedName name="sdfg" localSheetId="10" hidden="1">{#N/A,#N/A,TRUE,"Nagłówek"}</definedName>
    <definedName name="sdfg" localSheetId="29" hidden="1">{#N/A,#N/A,TRUE,"Nagłówek"}</definedName>
    <definedName name="sdfg" localSheetId="32" hidden="1">{#N/A,#N/A,TRUE,"Nagłówek"}</definedName>
    <definedName name="sdfg" localSheetId="11" hidden="1">{#N/A,#N/A,TRUE,"Nagłówek"}</definedName>
    <definedName name="sdfg" localSheetId="36" hidden="1">{#N/A,#N/A,TRUE,"Nagłówek"}</definedName>
    <definedName name="sdfg" localSheetId="35" hidden="1">{#N/A,#N/A,TRUE,"Nagłówek"}</definedName>
    <definedName name="sdfg" localSheetId="7" hidden="1">{#N/A,#N/A,TRUE,"Nagłówek"}</definedName>
    <definedName name="sdfg" localSheetId="25" hidden="1">{#N/A,#N/A,TRUE,"Nagłówek"}</definedName>
    <definedName name="sdfg" localSheetId="26" hidden="1">{#N/A,#N/A,TRUE,"Nagłówek"}</definedName>
    <definedName name="sdfg" localSheetId="24" hidden="1">{#N/A,#N/A,TRUE,"Nagłówek"}</definedName>
    <definedName name="sdfg" localSheetId="31" hidden="1">{#N/A,#N/A,TRUE,"Nagłówek"}</definedName>
    <definedName name="sdfg" localSheetId="18" hidden="1">{#N/A,#N/A,TRUE,"Nagłówek"}</definedName>
    <definedName name="sdfg" localSheetId="54" hidden="1">{#N/A,#N/A,TRUE,"Nagłówek"}</definedName>
    <definedName name="sdfg" localSheetId="30" hidden="1">{#N/A,#N/A,TRUE,"Nagłówek"}</definedName>
    <definedName name="sdfg" localSheetId="14" hidden="1">{#N/A,#N/A,TRUE,"Nagłówek"}</definedName>
    <definedName name="sdfg" localSheetId="37" hidden="1">{#N/A,#N/A,TRUE,"Nagłówek"}</definedName>
    <definedName name="sdfg" localSheetId="38" hidden="1">{#N/A,#N/A,TRUE,"Nagłówek"}</definedName>
    <definedName name="sdfg" localSheetId="39" hidden="1">{#N/A,#N/A,TRUE,"Nagłówek"}</definedName>
    <definedName name="sdfg" localSheetId="19" hidden="1">{#N/A,#N/A,TRUE,"Nagłówek"}</definedName>
    <definedName name="sdfg" localSheetId="9" hidden="1">{#N/A,#N/A,TRUE,"Nagłówek"}</definedName>
    <definedName name="sdfg" localSheetId="34" hidden="1">{#N/A,#N/A,TRUE,"Nagłówek"}</definedName>
    <definedName name="sdfg" hidden="1">{#N/A,#N/A,TRUE,"Nagłówek"}</definedName>
    <definedName name="sp" localSheetId="15" hidden="1">{#N/A,#N/A,TRUE,"Nagłówek"}</definedName>
    <definedName name="sp" localSheetId="40" hidden="1">{#N/A,#N/A,TRUE,"Nagłówek"}</definedName>
    <definedName name="sp" localSheetId="41" hidden="1">{#N/A,#N/A,TRUE,"Nagłówek"}</definedName>
    <definedName name="sp" localSheetId="42" hidden="1">{#N/A,#N/A,TRUE,"Nagłówek"}</definedName>
    <definedName name="sp" localSheetId="43" hidden="1">{#N/A,#N/A,TRUE,"Nagłówek"}</definedName>
    <definedName name="sp" localSheetId="16" hidden="1">{#N/A,#N/A,TRUE,"Nagłówek"}</definedName>
    <definedName name="sp" localSheetId="44" hidden="1">{#N/A,#N/A,TRUE,"Nagłówek"}</definedName>
    <definedName name="sp" localSheetId="45" hidden="1">{#N/A,#N/A,TRUE,"Nagłówek"}</definedName>
    <definedName name="sp" localSheetId="46" hidden="1">{#N/A,#N/A,TRUE,"Nagłówek"}</definedName>
    <definedName name="sp" localSheetId="47" hidden="1">{#N/A,#N/A,TRUE,"Nagłówek"}</definedName>
    <definedName name="sp" localSheetId="48" hidden="1">{#N/A,#N/A,TRUE,"Nagłówek"}</definedName>
    <definedName name="sp" localSheetId="49" hidden="1">{#N/A,#N/A,TRUE,"Nagłówek"}</definedName>
    <definedName name="sp" localSheetId="50" hidden="1">{#N/A,#N/A,TRUE,"Nagłówek"}</definedName>
    <definedName name="sp" localSheetId="51" hidden="1">{#N/A,#N/A,TRUE,"Nagłówek"}</definedName>
    <definedName name="sp" localSheetId="52" hidden="1">{#N/A,#N/A,TRUE,"Nagłówek"}</definedName>
    <definedName name="sp" localSheetId="12" hidden="1">{#N/A,#N/A,TRUE,"Nagłówek"}</definedName>
    <definedName name="sp" localSheetId="13" hidden="1">{#N/A,#N/A,TRUE,"Nagłówek"}</definedName>
    <definedName name="sp" localSheetId="33" hidden="1">{#N/A,#N/A,TRUE,"Nagłówek"}</definedName>
    <definedName name="sp" localSheetId="10" hidden="1">{#N/A,#N/A,TRUE,"Nagłówek"}</definedName>
    <definedName name="sp" localSheetId="29" hidden="1">{#N/A,#N/A,TRUE,"Nagłówek"}</definedName>
    <definedName name="sp" localSheetId="32" hidden="1">{#N/A,#N/A,TRUE,"Nagłówek"}</definedName>
    <definedName name="sp" localSheetId="11" hidden="1">{#N/A,#N/A,TRUE,"Nagłówek"}</definedName>
    <definedName name="sp" localSheetId="36" hidden="1">{#N/A,#N/A,TRUE,"Nagłówek"}</definedName>
    <definedName name="sp" localSheetId="35" hidden="1">{#N/A,#N/A,TRUE,"Nagłówek"}</definedName>
    <definedName name="sp" localSheetId="7" hidden="1">{#N/A,#N/A,TRUE,"Nagłówek"}</definedName>
    <definedName name="sp" localSheetId="25" hidden="1">{#N/A,#N/A,TRUE,"Nagłówek"}</definedName>
    <definedName name="sp" localSheetId="26" hidden="1">{#N/A,#N/A,TRUE,"Nagłówek"}</definedName>
    <definedName name="sp" localSheetId="24" hidden="1">{#N/A,#N/A,TRUE,"Nagłówek"}</definedName>
    <definedName name="sp" localSheetId="31" hidden="1">{#N/A,#N/A,TRUE,"Nagłówek"}</definedName>
    <definedName name="sp" localSheetId="18" hidden="1">{#N/A,#N/A,TRUE,"Nagłówek"}</definedName>
    <definedName name="sp" localSheetId="54" hidden="1">{#N/A,#N/A,TRUE,"Nagłówek"}</definedName>
    <definedName name="sp" localSheetId="30" hidden="1">{#N/A,#N/A,TRUE,"Nagłówek"}</definedName>
    <definedName name="sp" localSheetId="14" hidden="1">{#N/A,#N/A,TRUE,"Nagłówek"}</definedName>
    <definedName name="sp" localSheetId="37" hidden="1">{#N/A,#N/A,TRUE,"Nagłówek"}</definedName>
    <definedName name="sp" localSheetId="38" hidden="1">{#N/A,#N/A,TRUE,"Nagłówek"}</definedName>
    <definedName name="sp" localSheetId="39" hidden="1">{#N/A,#N/A,TRUE,"Nagłówek"}</definedName>
    <definedName name="sp" localSheetId="19" hidden="1">{#N/A,#N/A,TRUE,"Nagłówek"}</definedName>
    <definedName name="sp" localSheetId="9" hidden="1">{#N/A,#N/A,TRUE,"Nagłówek"}</definedName>
    <definedName name="sp" localSheetId="34" hidden="1">{#N/A,#N/A,TRUE,"Nagłówek"}</definedName>
    <definedName name="sp" hidden="1">{#N/A,#N/A,TRUE,"Nagłówek"}</definedName>
    <definedName name="t1_zr">[16]ster!$B$11</definedName>
    <definedName name="tenrok" localSheetId="43">#REF!</definedName>
    <definedName name="tenrok" localSheetId="52">#REF!</definedName>
    <definedName name="tenrok" localSheetId="28">#REF!</definedName>
    <definedName name="tenrok" localSheetId="36">#REF!</definedName>
    <definedName name="tenrok" localSheetId="7">#REF!</definedName>
    <definedName name="tenrok" localSheetId="26">#REF!</definedName>
    <definedName name="tenrok" localSheetId="23">#REF!</definedName>
    <definedName name="tenrok" localSheetId="22">#REF!</definedName>
    <definedName name="tenrok" localSheetId="39">#REF!</definedName>
    <definedName name="tenrok" localSheetId="56">#REF!</definedName>
    <definedName name="tenrok" localSheetId="19">#REF!</definedName>
    <definedName name="tenrok">#REF!</definedName>
    <definedName name="tjhntyj" localSheetId="43">[17]ster!#REF!</definedName>
    <definedName name="tjhntyj" localSheetId="52">[17]ster!#REF!</definedName>
    <definedName name="tjhntyj" localSheetId="28">[17]ster!#REF!</definedName>
    <definedName name="tjhntyj" localSheetId="36">[17]ster!#REF!</definedName>
    <definedName name="tjhntyj" localSheetId="7">[17]ster!#REF!</definedName>
    <definedName name="tjhntyj" localSheetId="26">[17]ster!#REF!</definedName>
    <definedName name="tjhntyj" localSheetId="23">[17]ster!#REF!</definedName>
    <definedName name="tjhntyj" localSheetId="22">[17]ster!#REF!</definedName>
    <definedName name="tjhntyj" localSheetId="39">[17]ster!#REF!</definedName>
    <definedName name="tjhntyj" localSheetId="56">[17]ster!#REF!</definedName>
    <definedName name="tjhntyj" localSheetId="19">[17]ster!#REF!</definedName>
    <definedName name="tjhntyj">[17]ster!#REF!</definedName>
    <definedName name="USDa">[5]ster!$E$10</definedName>
    <definedName name="USDp">[5]ster!$F$10</definedName>
    <definedName name="VIII" localSheetId="15" hidden="1">{#N/A,#N/A,TRUE,"Nagłówek"}</definedName>
    <definedName name="VIII" localSheetId="40" hidden="1">{#N/A,#N/A,TRUE,"Nagłówek"}</definedName>
    <definedName name="VIII" localSheetId="41" hidden="1">{#N/A,#N/A,TRUE,"Nagłówek"}</definedName>
    <definedName name="VIII" localSheetId="42" hidden="1">{#N/A,#N/A,TRUE,"Nagłówek"}</definedName>
    <definedName name="VIII" localSheetId="43" hidden="1">{#N/A,#N/A,TRUE,"Nagłówek"}</definedName>
    <definedName name="VIII" localSheetId="16" hidden="1">{#N/A,#N/A,TRUE,"Nagłówek"}</definedName>
    <definedName name="VIII" localSheetId="44" hidden="1">{#N/A,#N/A,TRUE,"Nagłówek"}</definedName>
    <definedName name="VIII" localSheetId="45" hidden="1">{#N/A,#N/A,TRUE,"Nagłówek"}</definedName>
    <definedName name="VIII" localSheetId="46" hidden="1">{#N/A,#N/A,TRUE,"Nagłówek"}</definedName>
    <definedName name="VIII" localSheetId="47" hidden="1">{#N/A,#N/A,TRUE,"Nagłówek"}</definedName>
    <definedName name="VIII" localSheetId="48" hidden="1">{#N/A,#N/A,TRUE,"Nagłówek"}</definedName>
    <definedName name="VIII" localSheetId="49" hidden="1">{#N/A,#N/A,TRUE,"Nagłówek"}</definedName>
    <definedName name="VIII" localSheetId="50" hidden="1">{#N/A,#N/A,TRUE,"Nagłówek"}</definedName>
    <definedName name="VIII" localSheetId="51" hidden="1">{#N/A,#N/A,TRUE,"Nagłówek"}</definedName>
    <definedName name="VIII" localSheetId="52" hidden="1">{#N/A,#N/A,TRUE,"Nagłówek"}</definedName>
    <definedName name="VIII" localSheetId="12" hidden="1">{#N/A,#N/A,TRUE,"Nagłówek"}</definedName>
    <definedName name="VIII" localSheetId="13" hidden="1">{#N/A,#N/A,TRUE,"Nagłówek"}</definedName>
    <definedName name="VIII" localSheetId="33" hidden="1">{#N/A,#N/A,TRUE,"Nagłówek"}</definedName>
    <definedName name="VIII" localSheetId="10" hidden="1">{#N/A,#N/A,TRUE,"Nagłówek"}</definedName>
    <definedName name="VIII" localSheetId="29" hidden="1">{#N/A,#N/A,TRUE,"Nagłówek"}</definedName>
    <definedName name="VIII" localSheetId="32" hidden="1">{#N/A,#N/A,TRUE,"Nagłówek"}</definedName>
    <definedName name="VIII" localSheetId="11" hidden="1">{#N/A,#N/A,TRUE,"Nagłówek"}</definedName>
    <definedName name="VIII" localSheetId="36" hidden="1">{#N/A,#N/A,TRUE,"Nagłówek"}</definedName>
    <definedName name="VIII" localSheetId="35" hidden="1">{#N/A,#N/A,TRUE,"Nagłówek"}</definedName>
    <definedName name="VIII" localSheetId="7" hidden="1">{#N/A,#N/A,TRUE,"Nagłówek"}</definedName>
    <definedName name="VIII" localSheetId="25" hidden="1">{#N/A,#N/A,TRUE,"Nagłówek"}</definedName>
    <definedName name="VIII" localSheetId="26" hidden="1">{#N/A,#N/A,TRUE,"Nagłówek"}</definedName>
    <definedName name="VIII" localSheetId="24" hidden="1">{#N/A,#N/A,TRUE,"Nagłówek"}</definedName>
    <definedName name="VIII" localSheetId="31" hidden="1">{#N/A,#N/A,TRUE,"Nagłówek"}</definedName>
    <definedName name="VIII" localSheetId="18" hidden="1">{#N/A,#N/A,TRUE,"Nagłówek"}</definedName>
    <definedName name="VIII" localSheetId="54" hidden="1">{#N/A,#N/A,TRUE,"Nagłówek"}</definedName>
    <definedName name="VIII" localSheetId="30" hidden="1">{#N/A,#N/A,TRUE,"Nagłówek"}</definedName>
    <definedName name="VIII" localSheetId="14" hidden="1">{#N/A,#N/A,TRUE,"Nagłówek"}</definedName>
    <definedName name="VIII" localSheetId="37" hidden="1">{#N/A,#N/A,TRUE,"Nagłówek"}</definedName>
    <definedName name="VIII" localSheetId="38" hidden="1">{#N/A,#N/A,TRUE,"Nagłówek"}</definedName>
    <definedName name="VIII" localSheetId="39" hidden="1">{#N/A,#N/A,TRUE,"Nagłówek"}</definedName>
    <definedName name="VIII" localSheetId="19" hidden="1">{#N/A,#N/A,TRUE,"Nagłówek"}</definedName>
    <definedName name="VIII" localSheetId="9" hidden="1">{#N/A,#N/A,TRUE,"Nagłówek"}</definedName>
    <definedName name="VIII" localSheetId="34" hidden="1">{#N/A,#N/A,TRUE,"Nagłówek"}</definedName>
    <definedName name="VIII" hidden="1">{#N/A,#N/A,TRUE,"Nagłówek"}</definedName>
    <definedName name="vv">[18]ster!$B$12</definedName>
    <definedName name="wp" localSheetId="15" hidden="1">{#N/A,#N/A,TRUE,"Nagłówek"}</definedName>
    <definedName name="wp" localSheetId="40" hidden="1">{#N/A,#N/A,TRUE,"Nagłówek"}</definedName>
    <definedName name="wp" localSheetId="41" hidden="1">{#N/A,#N/A,TRUE,"Nagłówek"}</definedName>
    <definedName name="wp" localSheetId="42" hidden="1">{#N/A,#N/A,TRUE,"Nagłówek"}</definedName>
    <definedName name="wp" localSheetId="43" hidden="1">{#N/A,#N/A,TRUE,"Nagłówek"}</definedName>
    <definedName name="wp" localSheetId="16" hidden="1">{#N/A,#N/A,TRUE,"Nagłówek"}</definedName>
    <definedName name="wp" localSheetId="44" hidden="1">{#N/A,#N/A,TRUE,"Nagłówek"}</definedName>
    <definedName name="wp" localSheetId="45" hidden="1">{#N/A,#N/A,TRUE,"Nagłówek"}</definedName>
    <definedName name="wp" localSheetId="46" hidden="1">{#N/A,#N/A,TRUE,"Nagłówek"}</definedName>
    <definedName name="wp" localSheetId="47" hidden="1">{#N/A,#N/A,TRUE,"Nagłówek"}</definedName>
    <definedName name="wp" localSheetId="48" hidden="1">{#N/A,#N/A,TRUE,"Nagłówek"}</definedName>
    <definedName name="wp" localSheetId="49" hidden="1">{#N/A,#N/A,TRUE,"Nagłówek"}</definedName>
    <definedName name="wp" localSheetId="50" hidden="1">{#N/A,#N/A,TRUE,"Nagłówek"}</definedName>
    <definedName name="wp" localSheetId="51" hidden="1">{#N/A,#N/A,TRUE,"Nagłówek"}</definedName>
    <definedName name="wp" localSheetId="52" hidden="1">{#N/A,#N/A,TRUE,"Nagłówek"}</definedName>
    <definedName name="wp" localSheetId="12" hidden="1">{#N/A,#N/A,TRUE,"Nagłówek"}</definedName>
    <definedName name="wp" localSheetId="13" hidden="1">{#N/A,#N/A,TRUE,"Nagłówek"}</definedName>
    <definedName name="wp" localSheetId="33" hidden="1">{#N/A,#N/A,TRUE,"Nagłówek"}</definedName>
    <definedName name="wp" localSheetId="10" hidden="1">{#N/A,#N/A,TRUE,"Nagłówek"}</definedName>
    <definedName name="wp" localSheetId="29" hidden="1">{#N/A,#N/A,TRUE,"Nagłówek"}</definedName>
    <definedName name="wp" localSheetId="32" hidden="1">{#N/A,#N/A,TRUE,"Nagłówek"}</definedName>
    <definedName name="wp" localSheetId="11" hidden="1">{#N/A,#N/A,TRUE,"Nagłówek"}</definedName>
    <definedName name="wp" localSheetId="36" hidden="1">{#N/A,#N/A,TRUE,"Nagłówek"}</definedName>
    <definedName name="wp" localSheetId="35" hidden="1">{#N/A,#N/A,TRUE,"Nagłówek"}</definedName>
    <definedName name="wp" localSheetId="7" hidden="1">{#N/A,#N/A,TRUE,"Nagłówek"}</definedName>
    <definedName name="wp" localSheetId="25" hidden="1">{#N/A,#N/A,TRUE,"Nagłówek"}</definedName>
    <definedName name="wp" localSheetId="26" hidden="1">{#N/A,#N/A,TRUE,"Nagłówek"}</definedName>
    <definedName name="wp" localSheetId="24" hidden="1">{#N/A,#N/A,TRUE,"Nagłówek"}</definedName>
    <definedName name="wp" localSheetId="31" hidden="1">{#N/A,#N/A,TRUE,"Nagłówek"}</definedName>
    <definedName name="wp" localSheetId="18" hidden="1">{#N/A,#N/A,TRUE,"Nagłówek"}</definedName>
    <definedName name="wp" localSheetId="54" hidden="1">{#N/A,#N/A,TRUE,"Nagłówek"}</definedName>
    <definedName name="wp" localSheetId="30" hidden="1">{#N/A,#N/A,TRUE,"Nagłówek"}</definedName>
    <definedName name="wp" localSheetId="14" hidden="1">{#N/A,#N/A,TRUE,"Nagłówek"}</definedName>
    <definedName name="wp" localSheetId="37" hidden="1">{#N/A,#N/A,TRUE,"Nagłówek"}</definedName>
    <definedName name="wp" localSheetId="38" hidden="1">{#N/A,#N/A,TRUE,"Nagłówek"}</definedName>
    <definedName name="wp" localSheetId="39" hidden="1">{#N/A,#N/A,TRUE,"Nagłówek"}</definedName>
    <definedName name="wp" localSheetId="19" hidden="1">{#N/A,#N/A,TRUE,"Nagłówek"}</definedName>
    <definedName name="wp" localSheetId="9" hidden="1">{#N/A,#N/A,TRUE,"Nagłówek"}</definedName>
    <definedName name="wp" localSheetId="34" hidden="1">{#N/A,#N/A,TRUE,"Nagłówek"}</definedName>
    <definedName name="wp" hidden="1">{#N/A,#N/A,TRUE,"Nagłówek"}</definedName>
    <definedName name="wpl" localSheetId="15" hidden="1">{#N/A,#N/A,TRUE,"Nagłówek"}</definedName>
    <definedName name="wpl" localSheetId="40" hidden="1">{#N/A,#N/A,TRUE,"Nagłówek"}</definedName>
    <definedName name="wpl" localSheetId="41" hidden="1">{#N/A,#N/A,TRUE,"Nagłówek"}</definedName>
    <definedName name="wpl" localSheetId="42" hidden="1">{#N/A,#N/A,TRUE,"Nagłówek"}</definedName>
    <definedName name="wpl" localSheetId="43" hidden="1">{#N/A,#N/A,TRUE,"Nagłówek"}</definedName>
    <definedName name="wpl" localSheetId="16" hidden="1">{#N/A,#N/A,TRUE,"Nagłówek"}</definedName>
    <definedName name="wpl" localSheetId="44" hidden="1">{#N/A,#N/A,TRUE,"Nagłówek"}</definedName>
    <definedName name="wpl" localSheetId="45" hidden="1">{#N/A,#N/A,TRUE,"Nagłówek"}</definedName>
    <definedName name="wpl" localSheetId="46" hidden="1">{#N/A,#N/A,TRUE,"Nagłówek"}</definedName>
    <definedName name="wpl" localSheetId="47" hidden="1">{#N/A,#N/A,TRUE,"Nagłówek"}</definedName>
    <definedName name="wpl" localSheetId="48" hidden="1">{#N/A,#N/A,TRUE,"Nagłówek"}</definedName>
    <definedName name="wpl" localSheetId="49" hidden="1">{#N/A,#N/A,TRUE,"Nagłówek"}</definedName>
    <definedName name="wpl" localSheetId="50" hidden="1">{#N/A,#N/A,TRUE,"Nagłówek"}</definedName>
    <definedName name="wpl" localSheetId="51" hidden="1">{#N/A,#N/A,TRUE,"Nagłówek"}</definedName>
    <definedName name="wpl" localSheetId="52" hidden="1">{#N/A,#N/A,TRUE,"Nagłówek"}</definedName>
    <definedName name="wpl" localSheetId="12" hidden="1">{#N/A,#N/A,TRUE,"Nagłówek"}</definedName>
    <definedName name="wpl" localSheetId="13" hidden="1">{#N/A,#N/A,TRUE,"Nagłówek"}</definedName>
    <definedName name="wpl" localSheetId="33" hidden="1">{#N/A,#N/A,TRUE,"Nagłówek"}</definedName>
    <definedName name="wpl" localSheetId="10" hidden="1">{#N/A,#N/A,TRUE,"Nagłówek"}</definedName>
    <definedName name="wpl" localSheetId="29" hidden="1">{#N/A,#N/A,TRUE,"Nagłówek"}</definedName>
    <definedName name="wpl" localSheetId="32" hidden="1">{#N/A,#N/A,TRUE,"Nagłówek"}</definedName>
    <definedName name="wpl" localSheetId="11" hidden="1">{#N/A,#N/A,TRUE,"Nagłówek"}</definedName>
    <definedName name="wpl" localSheetId="36" hidden="1">{#N/A,#N/A,TRUE,"Nagłówek"}</definedName>
    <definedName name="wpl" localSheetId="35" hidden="1">{#N/A,#N/A,TRUE,"Nagłówek"}</definedName>
    <definedName name="wpl" localSheetId="7" hidden="1">{#N/A,#N/A,TRUE,"Nagłówek"}</definedName>
    <definedName name="wpl" localSheetId="25" hidden="1">{#N/A,#N/A,TRUE,"Nagłówek"}</definedName>
    <definedName name="wpl" localSheetId="26" hidden="1">{#N/A,#N/A,TRUE,"Nagłówek"}</definedName>
    <definedName name="wpl" localSheetId="24" hidden="1">{#N/A,#N/A,TRUE,"Nagłówek"}</definedName>
    <definedName name="wpl" localSheetId="31" hidden="1">{#N/A,#N/A,TRUE,"Nagłówek"}</definedName>
    <definedName name="wpl" localSheetId="18" hidden="1">{#N/A,#N/A,TRUE,"Nagłówek"}</definedName>
    <definedName name="wpl" localSheetId="54" hidden="1">{#N/A,#N/A,TRUE,"Nagłówek"}</definedName>
    <definedName name="wpl" localSheetId="30" hidden="1">{#N/A,#N/A,TRUE,"Nagłówek"}</definedName>
    <definedName name="wpl" localSheetId="14" hidden="1">{#N/A,#N/A,TRUE,"Nagłówek"}</definedName>
    <definedName name="wpl" localSheetId="37" hidden="1">{#N/A,#N/A,TRUE,"Nagłówek"}</definedName>
    <definedName name="wpl" localSheetId="38" hidden="1">{#N/A,#N/A,TRUE,"Nagłówek"}</definedName>
    <definedName name="wpl" localSheetId="39" hidden="1">{#N/A,#N/A,TRUE,"Nagłówek"}</definedName>
    <definedName name="wpl" localSheetId="19" hidden="1">{#N/A,#N/A,TRUE,"Nagłówek"}</definedName>
    <definedName name="wpl" localSheetId="9" hidden="1">{#N/A,#N/A,TRUE,"Nagłówek"}</definedName>
    <definedName name="wpl" localSheetId="34" hidden="1">{#N/A,#N/A,TRUE,"Nagłówek"}</definedName>
    <definedName name="wpl" hidden="1">{#N/A,#N/A,TRUE,"Nagłówek"}</definedName>
    <definedName name="wpływ" localSheetId="15" hidden="1">{#N/A,#N/A,TRUE,"Nagłówek"}</definedName>
    <definedName name="wpływ" localSheetId="40" hidden="1">{#N/A,#N/A,TRUE,"Nagłówek"}</definedName>
    <definedName name="wpływ" localSheetId="41" hidden="1">{#N/A,#N/A,TRUE,"Nagłówek"}</definedName>
    <definedName name="wpływ" localSheetId="42" hidden="1">{#N/A,#N/A,TRUE,"Nagłówek"}</definedName>
    <definedName name="wpływ" localSheetId="43" hidden="1">{#N/A,#N/A,TRUE,"Nagłówek"}</definedName>
    <definedName name="wpływ" localSheetId="16" hidden="1">{#N/A,#N/A,TRUE,"Nagłówek"}</definedName>
    <definedName name="wpływ" localSheetId="44" hidden="1">{#N/A,#N/A,TRUE,"Nagłówek"}</definedName>
    <definedName name="wpływ" localSheetId="45" hidden="1">{#N/A,#N/A,TRUE,"Nagłówek"}</definedName>
    <definedName name="wpływ" localSheetId="46" hidden="1">{#N/A,#N/A,TRUE,"Nagłówek"}</definedName>
    <definedName name="wpływ" localSheetId="47" hidden="1">{#N/A,#N/A,TRUE,"Nagłówek"}</definedName>
    <definedName name="wpływ" localSheetId="48" hidden="1">{#N/A,#N/A,TRUE,"Nagłówek"}</definedName>
    <definedName name="wpływ" localSheetId="49" hidden="1">{#N/A,#N/A,TRUE,"Nagłówek"}</definedName>
    <definedName name="wpływ" localSheetId="50" hidden="1">{#N/A,#N/A,TRUE,"Nagłówek"}</definedName>
    <definedName name="wpływ" localSheetId="51" hidden="1">{#N/A,#N/A,TRUE,"Nagłówek"}</definedName>
    <definedName name="wpływ" localSheetId="52" hidden="1">{#N/A,#N/A,TRUE,"Nagłówek"}</definedName>
    <definedName name="wpływ" localSheetId="12" hidden="1">{#N/A,#N/A,TRUE,"Nagłówek"}</definedName>
    <definedName name="wpływ" localSheetId="13" hidden="1">{#N/A,#N/A,TRUE,"Nagłówek"}</definedName>
    <definedName name="wpływ" localSheetId="33" hidden="1">{#N/A,#N/A,TRUE,"Nagłówek"}</definedName>
    <definedName name="wpływ" localSheetId="10" hidden="1">{#N/A,#N/A,TRUE,"Nagłówek"}</definedName>
    <definedName name="wpływ" localSheetId="29" hidden="1">{#N/A,#N/A,TRUE,"Nagłówek"}</definedName>
    <definedName name="wpływ" localSheetId="32" hidden="1">{#N/A,#N/A,TRUE,"Nagłówek"}</definedName>
    <definedName name="wpływ" localSheetId="11" hidden="1">{#N/A,#N/A,TRUE,"Nagłówek"}</definedName>
    <definedName name="wpływ" localSheetId="36" hidden="1">{#N/A,#N/A,TRUE,"Nagłówek"}</definedName>
    <definedName name="wpływ" localSheetId="35" hidden="1">{#N/A,#N/A,TRUE,"Nagłówek"}</definedName>
    <definedName name="wpływ" localSheetId="7" hidden="1">{#N/A,#N/A,TRUE,"Nagłówek"}</definedName>
    <definedName name="wpływ" localSheetId="25" hidden="1">{#N/A,#N/A,TRUE,"Nagłówek"}</definedName>
    <definedName name="wpływ" localSheetId="26" hidden="1">{#N/A,#N/A,TRUE,"Nagłówek"}</definedName>
    <definedName name="wpływ" localSheetId="24" hidden="1">{#N/A,#N/A,TRUE,"Nagłówek"}</definedName>
    <definedName name="wpływ" localSheetId="31" hidden="1">{#N/A,#N/A,TRUE,"Nagłówek"}</definedName>
    <definedName name="wpływ" localSheetId="18" hidden="1">{#N/A,#N/A,TRUE,"Nagłówek"}</definedName>
    <definedName name="wpływ" localSheetId="54" hidden="1">{#N/A,#N/A,TRUE,"Nagłówek"}</definedName>
    <definedName name="wpływ" localSheetId="30" hidden="1">{#N/A,#N/A,TRUE,"Nagłówek"}</definedName>
    <definedName name="wpływ" localSheetId="14" hidden="1">{#N/A,#N/A,TRUE,"Nagłówek"}</definedName>
    <definedName name="wpływ" localSheetId="37" hidden="1">{#N/A,#N/A,TRUE,"Nagłówek"}</definedName>
    <definedName name="wpływ" localSheetId="38" hidden="1">{#N/A,#N/A,TRUE,"Nagłówek"}</definedName>
    <definedName name="wpływ" localSheetId="39" hidden="1">{#N/A,#N/A,TRUE,"Nagłówek"}</definedName>
    <definedName name="wpływ" localSheetId="19" hidden="1">{#N/A,#N/A,TRUE,"Nagłówek"}</definedName>
    <definedName name="wpływ" localSheetId="9" hidden="1">{#N/A,#N/A,TRUE,"Nagłówek"}</definedName>
    <definedName name="wpływ" localSheetId="34" hidden="1">{#N/A,#N/A,TRUE,"Nagłówek"}</definedName>
    <definedName name="wpływ" hidden="1">{#N/A,#N/A,TRUE,"Nagłówek"}</definedName>
    <definedName name="wrn.inwest." localSheetId="15" hidden="1">{#N/A,#N/A,TRUE,"Nagłówek"}</definedName>
    <definedName name="wrn.inwest." localSheetId="40" hidden="1">{#N/A,#N/A,TRUE,"Nagłówek"}</definedName>
    <definedName name="wrn.inwest." localSheetId="41" hidden="1">{#N/A,#N/A,TRUE,"Nagłówek"}</definedName>
    <definedName name="wrn.inwest." localSheetId="42" hidden="1">{#N/A,#N/A,TRUE,"Nagłówek"}</definedName>
    <definedName name="wrn.inwest." localSheetId="43" hidden="1">{#N/A,#N/A,TRUE,"Nagłówek"}</definedName>
    <definedName name="wrn.inwest." localSheetId="16" hidden="1">{#N/A,#N/A,TRUE,"Nagłówek"}</definedName>
    <definedName name="wrn.inwest." localSheetId="44" hidden="1">{#N/A,#N/A,TRUE,"Nagłówek"}</definedName>
    <definedName name="wrn.inwest." localSheetId="45" hidden="1">{#N/A,#N/A,TRUE,"Nagłówek"}</definedName>
    <definedName name="wrn.inwest." localSheetId="46" hidden="1">{#N/A,#N/A,TRUE,"Nagłówek"}</definedName>
    <definedName name="wrn.inwest." localSheetId="47" hidden="1">{#N/A,#N/A,TRUE,"Nagłówek"}</definedName>
    <definedName name="wrn.inwest." localSheetId="48" hidden="1">{#N/A,#N/A,TRUE,"Nagłówek"}</definedName>
    <definedName name="wrn.inwest." localSheetId="49" hidden="1">{#N/A,#N/A,TRUE,"Nagłówek"}</definedName>
    <definedName name="wrn.inwest." localSheetId="50" hidden="1">{#N/A,#N/A,TRUE,"Nagłówek"}</definedName>
    <definedName name="wrn.inwest." localSheetId="51" hidden="1">{#N/A,#N/A,TRUE,"Nagłówek"}</definedName>
    <definedName name="wrn.inwest." localSheetId="52" hidden="1">{#N/A,#N/A,TRUE,"Nagłówek"}</definedName>
    <definedName name="wrn.inwest." localSheetId="12" hidden="1">{#N/A,#N/A,TRUE,"Nagłówek"}</definedName>
    <definedName name="wrn.inwest." localSheetId="13" hidden="1">{#N/A,#N/A,TRUE,"Nagłówek"}</definedName>
    <definedName name="wrn.inwest." localSheetId="33" hidden="1">{#N/A,#N/A,TRUE,"Nagłówek"}</definedName>
    <definedName name="wrn.inwest." localSheetId="10" hidden="1">{#N/A,#N/A,TRUE,"Nagłówek"}</definedName>
    <definedName name="wrn.inwest." localSheetId="29" hidden="1">{#N/A,#N/A,TRUE,"Nagłówek"}</definedName>
    <definedName name="wrn.inwest." localSheetId="32" hidden="1">{#N/A,#N/A,TRUE,"Nagłówek"}</definedName>
    <definedName name="wrn.inwest." localSheetId="11" hidden="1">{#N/A,#N/A,TRUE,"Nagłówek"}</definedName>
    <definedName name="wrn.inwest." localSheetId="36" hidden="1">{#N/A,#N/A,TRUE,"Nagłówek"}</definedName>
    <definedName name="wrn.inwest." localSheetId="35" hidden="1">{#N/A,#N/A,TRUE,"Nagłówek"}</definedName>
    <definedName name="wrn.inwest." localSheetId="7" hidden="1">{#N/A,#N/A,TRUE,"Nagłówek"}</definedName>
    <definedName name="wrn.inwest." localSheetId="25" hidden="1">{#N/A,#N/A,TRUE,"Nagłówek"}</definedName>
    <definedName name="wrn.inwest." localSheetId="26" hidden="1">{#N/A,#N/A,TRUE,"Nagłówek"}</definedName>
    <definedName name="wrn.inwest." localSheetId="24" hidden="1">{#N/A,#N/A,TRUE,"Nagłówek"}</definedName>
    <definedName name="wrn.inwest." localSheetId="31" hidden="1">{#N/A,#N/A,TRUE,"Nagłówek"}</definedName>
    <definedName name="wrn.inwest." localSheetId="18" hidden="1">{#N/A,#N/A,TRUE,"Nagłówek"}</definedName>
    <definedName name="wrn.inwest." localSheetId="54" hidden="1">{#N/A,#N/A,TRUE,"Nagłówek"}</definedName>
    <definedName name="wrn.inwest." localSheetId="30" hidden="1">{#N/A,#N/A,TRUE,"Nagłówek"}</definedName>
    <definedName name="wrn.inwest." localSheetId="14" hidden="1">{#N/A,#N/A,TRUE,"Nagłówek"}</definedName>
    <definedName name="wrn.inwest." localSheetId="37" hidden="1">{#N/A,#N/A,TRUE,"Nagłówek"}</definedName>
    <definedName name="wrn.inwest." localSheetId="38" hidden="1">{#N/A,#N/A,TRUE,"Nagłówek"}</definedName>
    <definedName name="wrn.inwest." localSheetId="39" hidden="1">{#N/A,#N/A,TRUE,"Nagłówek"}</definedName>
    <definedName name="wrn.inwest." localSheetId="19" hidden="1">{#N/A,#N/A,TRUE,"Nagłówek"}</definedName>
    <definedName name="wrn.inwest." localSheetId="9" hidden="1">{#N/A,#N/A,TRUE,"Nagłówek"}</definedName>
    <definedName name="wrn.inwest." localSheetId="34" hidden="1">{#N/A,#N/A,TRUE,"Nagłówek"}</definedName>
    <definedName name="wrn.inwest." hidden="1">{#N/A,#N/A,TRUE,"Nagłówek"}</definedName>
    <definedName name="wrn.market." localSheetId="15" hidden="1">{#N/A,#N/A,FALSE,"C-12";#N/A,#N/A,FALSE,"T-7";#N/A,#N/A,FALSE,"T-8";#N/A,#N/A,FALSE,"T-9";#N/A,#N/A,FALSE,"T-10";#N/A,#N/A,FALSE,"T-11";#N/A,#N/A,FALSE,"C-13";#N/A,#N/A,FALSE,"T-12"}</definedName>
    <definedName name="wrn.market." localSheetId="40" hidden="1">{#N/A,#N/A,FALSE,"C-12";#N/A,#N/A,FALSE,"T-7";#N/A,#N/A,FALSE,"T-8";#N/A,#N/A,FALSE,"T-9";#N/A,#N/A,FALSE,"T-10";#N/A,#N/A,FALSE,"T-11";#N/A,#N/A,FALSE,"C-13";#N/A,#N/A,FALSE,"T-12"}</definedName>
    <definedName name="wrn.market." localSheetId="41" hidden="1">{#N/A,#N/A,FALSE,"C-12";#N/A,#N/A,FALSE,"T-7";#N/A,#N/A,FALSE,"T-8";#N/A,#N/A,FALSE,"T-9";#N/A,#N/A,FALSE,"T-10";#N/A,#N/A,FALSE,"T-11";#N/A,#N/A,FALSE,"C-13";#N/A,#N/A,FALSE,"T-12"}</definedName>
    <definedName name="wrn.market." localSheetId="42" hidden="1">{#N/A,#N/A,FALSE,"C-12";#N/A,#N/A,FALSE,"T-7";#N/A,#N/A,FALSE,"T-8";#N/A,#N/A,FALSE,"T-9";#N/A,#N/A,FALSE,"T-10";#N/A,#N/A,FALSE,"T-11";#N/A,#N/A,FALSE,"C-13";#N/A,#N/A,FALSE,"T-12"}</definedName>
    <definedName name="wrn.market." localSheetId="43" hidden="1">{#N/A,#N/A,FALSE,"C-12";#N/A,#N/A,FALSE,"T-7";#N/A,#N/A,FALSE,"T-8";#N/A,#N/A,FALSE,"T-9";#N/A,#N/A,FALSE,"T-10";#N/A,#N/A,FALSE,"T-11";#N/A,#N/A,FALSE,"C-13";#N/A,#N/A,FALSE,"T-12"}</definedName>
    <definedName name="wrn.market." localSheetId="16" hidden="1">{#N/A,#N/A,FALSE,"C-12";#N/A,#N/A,FALSE,"T-7";#N/A,#N/A,FALSE,"T-8";#N/A,#N/A,FALSE,"T-9";#N/A,#N/A,FALSE,"T-10";#N/A,#N/A,FALSE,"T-11";#N/A,#N/A,FALSE,"C-13";#N/A,#N/A,FALSE,"T-12"}</definedName>
    <definedName name="wrn.market." localSheetId="44" hidden="1">{#N/A,#N/A,FALSE,"C-12";#N/A,#N/A,FALSE,"T-7";#N/A,#N/A,FALSE,"T-8";#N/A,#N/A,FALSE,"T-9";#N/A,#N/A,FALSE,"T-10";#N/A,#N/A,FALSE,"T-11";#N/A,#N/A,FALSE,"C-13";#N/A,#N/A,FALSE,"T-12"}</definedName>
    <definedName name="wrn.market." localSheetId="45" hidden="1">{#N/A,#N/A,FALSE,"C-12";#N/A,#N/A,FALSE,"T-7";#N/A,#N/A,FALSE,"T-8";#N/A,#N/A,FALSE,"T-9";#N/A,#N/A,FALSE,"T-10";#N/A,#N/A,FALSE,"T-11";#N/A,#N/A,FALSE,"C-13";#N/A,#N/A,FALSE,"T-12"}</definedName>
    <definedName name="wrn.market." localSheetId="46" hidden="1">{#N/A,#N/A,FALSE,"C-12";#N/A,#N/A,FALSE,"T-7";#N/A,#N/A,FALSE,"T-8";#N/A,#N/A,FALSE,"T-9";#N/A,#N/A,FALSE,"T-10";#N/A,#N/A,FALSE,"T-11";#N/A,#N/A,FALSE,"C-13";#N/A,#N/A,FALSE,"T-12"}</definedName>
    <definedName name="wrn.market." localSheetId="47" hidden="1">{#N/A,#N/A,FALSE,"C-12";#N/A,#N/A,FALSE,"T-7";#N/A,#N/A,FALSE,"T-8";#N/A,#N/A,FALSE,"T-9";#N/A,#N/A,FALSE,"T-10";#N/A,#N/A,FALSE,"T-11";#N/A,#N/A,FALSE,"C-13";#N/A,#N/A,FALSE,"T-12"}</definedName>
    <definedName name="wrn.market." localSheetId="48" hidden="1">{#N/A,#N/A,FALSE,"C-12";#N/A,#N/A,FALSE,"T-7";#N/A,#N/A,FALSE,"T-8";#N/A,#N/A,FALSE,"T-9";#N/A,#N/A,FALSE,"T-10";#N/A,#N/A,FALSE,"T-11";#N/A,#N/A,FALSE,"C-13";#N/A,#N/A,FALSE,"T-12"}</definedName>
    <definedName name="wrn.market." localSheetId="49" hidden="1">{#N/A,#N/A,FALSE,"C-12";#N/A,#N/A,FALSE,"T-7";#N/A,#N/A,FALSE,"T-8";#N/A,#N/A,FALSE,"T-9";#N/A,#N/A,FALSE,"T-10";#N/A,#N/A,FALSE,"T-11";#N/A,#N/A,FALSE,"C-13";#N/A,#N/A,FALSE,"T-12"}</definedName>
    <definedName name="wrn.market." localSheetId="50" hidden="1">{#N/A,#N/A,FALSE,"C-12";#N/A,#N/A,FALSE,"T-7";#N/A,#N/A,FALSE,"T-8";#N/A,#N/A,FALSE,"T-9";#N/A,#N/A,FALSE,"T-10";#N/A,#N/A,FALSE,"T-11";#N/A,#N/A,FALSE,"C-13";#N/A,#N/A,FALSE,"T-12"}</definedName>
    <definedName name="wrn.market." localSheetId="51" hidden="1">{#N/A,#N/A,FALSE,"C-12";#N/A,#N/A,FALSE,"T-7";#N/A,#N/A,FALSE,"T-8";#N/A,#N/A,FALSE,"T-9";#N/A,#N/A,FALSE,"T-10";#N/A,#N/A,FALSE,"T-11";#N/A,#N/A,FALSE,"C-13";#N/A,#N/A,FALSE,"T-12"}</definedName>
    <definedName name="wrn.market." localSheetId="52" hidden="1">{#N/A,#N/A,FALSE,"C-12";#N/A,#N/A,FALSE,"T-7";#N/A,#N/A,FALSE,"T-8";#N/A,#N/A,FALSE,"T-9";#N/A,#N/A,FALSE,"T-10";#N/A,#N/A,FALSE,"T-11";#N/A,#N/A,FALSE,"C-13";#N/A,#N/A,FALSE,"T-12"}</definedName>
    <definedName name="wrn.market." localSheetId="12" hidden="1">{#N/A,#N/A,FALSE,"C-12";#N/A,#N/A,FALSE,"T-7";#N/A,#N/A,FALSE,"T-8";#N/A,#N/A,FALSE,"T-9";#N/A,#N/A,FALSE,"T-10";#N/A,#N/A,FALSE,"T-11";#N/A,#N/A,FALSE,"C-13";#N/A,#N/A,FALSE,"T-12"}</definedName>
    <definedName name="wrn.market." localSheetId="13" hidden="1">{#N/A,#N/A,FALSE,"C-12";#N/A,#N/A,FALSE,"T-7";#N/A,#N/A,FALSE,"T-8";#N/A,#N/A,FALSE,"T-9";#N/A,#N/A,FALSE,"T-10";#N/A,#N/A,FALSE,"T-11";#N/A,#N/A,FALSE,"C-13";#N/A,#N/A,FALSE,"T-12"}</definedName>
    <definedName name="wrn.market." localSheetId="33" hidden="1">{#N/A,#N/A,FALSE,"C-12";#N/A,#N/A,FALSE,"T-7";#N/A,#N/A,FALSE,"T-8";#N/A,#N/A,FALSE,"T-9";#N/A,#N/A,FALSE,"T-10";#N/A,#N/A,FALSE,"T-11";#N/A,#N/A,FALSE,"C-13";#N/A,#N/A,FALSE,"T-12"}</definedName>
    <definedName name="wrn.market." localSheetId="10" hidden="1">{#N/A,#N/A,FALSE,"C-12";#N/A,#N/A,FALSE,"T-7";#N/A,#N/A,FALSE,"T-8";#N/A,#N/A,FALSE,"T-9";#N/A,#N/A,FALSE,"T-10";#N/A,#N/A,FALSE,"T-11";#N/A,#N/A,FALSE,"C-13";#N/A,#N/A,FALSE,"T-12"}</definedName>
    <definedName name="wrn.market." localSheetId="29" hidden="1">{#N/A,#N/A,FALSE,"C-12";#N/A,#N/A,FALSE,"T-7";#N/A,#N/A,FALSE,"T-8";#N/A,#N/A,FALSE,"T-9";#N/A,#N/A,FALSE,"T-10";#N/A,#N/A,FALSE,"T-11";#N/A,#N/A,FALSE,"C-13";#N/A,#N/A,FALSE,"T-12"}</definedName>
    <definedName name="wrn.market." localSheetId="32" hidden="1">{#N/A,#N/A,FALSE,"C-12";#N/A,#N/A,FALSE,"T-7";#N/A,#N/A,FALSE,"T-8";#N/A,#N/A,FALSE,"T-9";#N/A,#N/A,FALSE,"T-10";#N/A,#N/A,FALSE,"T-11";#N/A,#N/A,FALSE,"C-13";#N/A,#N/A,FALSE,"T-12"}</definedName>
    <definedName name="wrn.market." localSheetId="11" hidden="1">{#N/A,#N/A,FALSE,"C-12";#N/A,#N/A,FALSE,"T-7";#N/A,#N/A,FALSE,"T-8";#N/A,#N/A,FALSE,"T-9";#N/A,#N/A,FALSE,"T-10";#N/A,#N/A,FALSE,"T-11";#N/A,#N/A,FALSE,"C-13";#N/A,#N/A,FALSE,"T-12"}</definedName>
    <definedName name="wrn.market." localSheetId="36" hidden="1">{#N/A,#N/A,FALSE,"C-12";#N/A,#N/A,FALSE,"T-7";#N/A,#N/A,FALSE,"T-8";#N/A,#N/A,FALSE,"T-9";#N/A,#N/A,FALSE,"T-10";#N/A,#N/A,FALSE,"T-11";#N/A,#N/A,FALSE,"C-13";#N/A,#N/A,FALSE,"T-12"}</definedName>
    <definedName name="wrn.market." localSheetId="35" hidden="1">{#N/A,#N/A,FALSE,"C-12";#N/A,#N/A,FALSE,"T-7";#N/A,#N/A,FALSE,"T-8";#N/A,#N/A,FALSE,"T-9";#N/A,#N/A,FALSE,"T-10";#N/A,#N/A,FALSE,"T-11";#N/A,#N/A,FALSE,"C-13";#N/A,#N/A,FALSE,"T-12"}</definedName>
    <definedName name="wrn.market." localSheetId="7" hidden="1">{#N/A,#N/A,FALSE,"C-12";#N/A,#N/A,FALSE,"T-7";#N/A,#N/A,FALSE,"T-8";#N/A,#N/A,FALSE,"T-9";#N/A,#N/A,FALSE,"T-10";#N/A,#N/A,FALSE,"T-11";#N/A,#N/A,FALSE,"C-13";#N/A,#N/A,FALSE,"T-12"}</definedName>
    <definedName name="wrn.market." localSheetId="25" hidden="1">{#N/A,#N/A,FALSE,"C-12";#N/A,#N/A,FALSE,"T-7";#N/A,#N/A,FALSE,"T-8";#N/A,#N/A,FALSE,"T-9";#N/A,#N/A,FALSE,"T-10";#N/A,#N/A,FALSE,"T-11";#N/A,#N/A,FALSE,"C-13";#N/A,#N/A,FALSE,"T-12"}</definedName>
    <definedName name="wrn.market." localSheetId="26" hidden="1">{#N/A,#N/A,FALSE,"C-12";#N/A,#N/A,FALSE,"T-7";#N/A,#N/A,FALSE,"T-8";#N/A,#N/A,FALSE,"T-9";#N/A,#N/A,FALSE,"T-10";#N/A,#N/A,FALSE,"T-11";#N/A,#N/A,FALSE,"C-13";#N/A,#N/A,FALSE,"T-12"}</definedName>
    <definedName name="wrn.market." localSheetId="24" hidden="1">{#N/A,#N/A,FALSE,"C-12";#N/A,#N/A,FALSE,"T-7";#N/A,#N/A,FALSE,"T-8";#N/A,#N/A,FALSE,"T-9";#N/A,#N/A,FALSE,"T-10";#N/A,#N/A,FALSE,"T-11";#N/A,#N/A,FALSE,"C-13";#N/A,#N/A,FALSE,"T-12"}</definedName>
    <definedName name="wrn.market." localSheetId="31" hidden="1">{#N/A,#N/A,FALSE,"C-12";#N/A,#N/A,FALSE,"T-7";#N/A,#N/A,FALSE,"T-8";#N/A,#N/A,FALSE,"T-9";#N/A,#N/A,FALSE,"T-10";#N/A,#N/A,FALSE,"T-11";#N/A,#N/A,FALSE,"C-13";#N/A,#N/A,FALSE,"T-12"}</definedName>
    <definedName name="wrn.market." localSheetId="18" hidden="1">{#N/A,#N/A,FALSE,"C-12";#N/A,#N/A,FALSE,"T-7";#N/A,#N/A,FALSE,"T-8";#N/A,#N/A,FALSE,"T-9";#N/A,#N/A,FALSE,"T-10";#N/A,#N/A,FALSE,"T-11";#N/A,#N/A,FALSE,"C-13";#N/A,#N/A,FALSE,"T-12"}</definedName>
    <definedName name="wrn.market." localSheetId="54" hidden="1">{#N/A,#N/A,FALSE,"C-12";#N/A,#N/A,FALSE,"T-7";#N/A,#N/A,FALSE,"T-8";#N/A,#N/A,FALSE,"T-9";#N/A,#N/A,FALSE,"T-10";#N/A,#N/A,FALSE,"T-11";#N/A,#N/A,FALSE,"C-13";#N/A,#N/A,FALSE,"T-12"}</definedName>
    <definedName name="wrn.market." localSheetId="30" hidden="1">{#N/A,#N/A,FALSE,"C-12";#N/A,#N/A,FALSE,"T-7";#N/A,#N/A,FALSE,"T-8";#N/A,#N/A,FALSE,"T-9";#N/A,#N/A,FALSE,"T-10";#N/A,#N/A,FALSE,"T-11";#N/A,#N/A,FALSE,"C-13";#N/A,#N/A,FALSE,"T-12"}</definedName>
    <definedName name="wrn.market." localSheetId="14" hidden="1">{#N/A,#N/A,FALSE,"C-12";#N/A,#N/A,FALSE,"T-7";#N/A,#N/A,FALSE,"T-8";#N/A,#N/A,FALSE,"T-9";#N/A,#N/A,FALSE,"T-10";#N/A,#N/A,FALSE,"T-11";#N/A,#N/A,FALSE,"C-13";#N/A,#N/A,FALSE,"T-12"}</definedName>
    <definedName name="wrn.market." localSheetId="37" hidden="1">{#N/A,#N/A,FALSE,"C-12";#N/A,#N/A,FALSE,"T-7";#N/A,#N/A,FALSE,"T-8";#N/A,#N/A,FALSE,"T-9";#N/A,#N/A,FALSE,"T-10";#N/A,#N/A,FALSE,"T-11";#N/A,#N/A,FALSE,"C-13";#N/A,#N/A,FALSE,"T-12"}</definedName>
    <definedName name="wrn.market." localSheetId="38" hidden="1">{#N/A,#N/A,FALSE,"C-12";#N/A,#N/A,FALSE,"T-7";#N/A,#N/A,FALSE,"T-8";#N/A,#N/A,FALSE,"T-9";#N/A,#N/A,FALSE,"T-10";#N/A,#N/A,FALSE,"T-11";#N/A,#N/A,FALSE,"C-13";#N/A,#N/A,FALSE,"T-12"}</definedName>
    <definedName name="wrn.market." localSheetId="39" hidden="1">{#N/A,#N/A,FALSE,"C-12";#N/A,#N/A,FALSE,"T-7";#N/A,#N/A,FALSE,"T-8";#N/A,#N/A,FALSE,"T-9";#N/A,#N/A,FALSE,"T-10";#N/A,#N/A,FALSE,"T-11";#N/A,#N/A,FALSE,"C-13";#N/A,#N/A,FALSE,"T-12"}</definedName>
    <definedName name="wrn.market." localSheetId="19" hidden="1">{#N/A,#N/A,FALSE,"C-12";#N/A,#N/A,FALSE,"T-7";#N/A,#N/A,FALSE,"T-8";#N/A,#N/A,FALSE,"T-9";#N/A,#N/A,FALSE,"T-10";#N/A,#N/A,FALSE,"T-11";#N/A,#N/A,FALSE,"C-13";#N/A,#N/A,FALSE,"T-12"}</definedName>
    <definedName name="wrn.market." localSheetId="9" hidden="1">{#N/A,#N/A,FALSE,"C-12";#N/A,#N/A,FALSE,"T-7";#N/A,#N/A,FALSE,"T-8";#N/A,#N/A,FALSE,"T-9";#N/A,#N/A,FALSE,"T-10";#N/A,#N/A,FALSE,"T-11";#N/A,#N/A,FALSE,"C-13";#N/A,#N/A,FALSE,"T-12"}</definedName>
    <definedName name="wrn.market." localSheetId="34" hidden="1">{#N/A,#N/A,FALSE,"C-12";#N/A,#N/A,FALSE,"T-7";#N/A,#N/A,FALSE,"T-8";#N/A,#N/A,FALSE,"T-9";#N/A,#N/A,FALSE,"T-10";#N/A,#N/A,FALSE,"T-11";#N/A,#N/A,FALSE,"C-13";#N/A,#N/A,FALSE,"T-12"}</definedName>
    <definedName name="wrn.market." hidden="1">{#N/A,#N/A,FALSE,"C-12";#N/A,#N/A,FALSE,"T-7";#N/A,#N/A,FALSE,"T-8";#N/A,#N/A,FALSE,"T-9";#N/A,#N/A,FALSE,"T-10";#N/A,#N/A,FALSE,"T-11";#N/A,#N/A,FALSE,"C-13";#N/A,#N/A,FALSE,"T-12"}</definedName>
    <definedName name="wrn.refinery." localSheetId="15" hidden="1">{#N/A,#N/A,FALSE,"T-1";#N/A,#N/A,FALSE,"C-7";#N/A,#N/A,FALSE,"C-8";#N/A,#N/A,FALSE,"T-2";#N/A,#N/A,FALSE,"C-9A";#N/A,#N/A,FALSE,"C-9B";#N/A,#N/A,FALSE,"T-3";#N/A,#N/A,FALSE,"T-4";#N/A,#N/A,FALSE,"C-10";#N/A,#N/A,FALSE,"T-5";#N/A,#N/A,FALSE,"C-11";#N/A,#N/A,FALSE,"T-6"}</definedName>
    <definedName name="wrn.refinery." localSheetId="40" hidden="1">{#N/A,#N/A,FALSE,"T-1";#N/A,#N/A,FALSE,"C-7";#N/A,#N/A,FALSE,"C-8";#N/A,#N/A,FALSE,"T-2";#N/A,#N/A,FALSE,"C-9A";#N/A,#N/A,FALSE,"C-9B";#N/A,#N/A,FALSE,"T-3";#N/A,#N/A,FALSE,"T-4";#N/A,#N/A,FALSE,"C-10";#N/A,#N/A,FALSE,"T-5";#N/A,#N/A,FALSE,"C-11";#N/A,#N/A,FALSE,"T-6"}</definedName>
    <definedName name="wrn.refinery." localSheetId="41" hidden="1">{#N/A,#N/A,FALSE,"T-1";#N/A,#N/A,FALSE,"C-7";#N/A,#N/A,FALSE,"C-8";#N/A,#N/A,FALSE,"T-2";#N/A,#N/A,FALSE,"C-9A";#N/A,#N/A,FALSE,"C-9B";#N/A,#N/A,FALSE,"T-3";#N/A,#N/A,FALSE,"T-4";#N/A,#N/A,FALSE,"C-10";#N/A,#N/A,FALSE,"T-5";#N/A,#N/A,FALSE,"C-11";#N/A,#N/A,FALSE,"T-6"}</definedName>
    <definedName name="wrn.refinery." localSheetId="42" hidden="1">{#N/A,#N/A,FALSE,"T-1";#N/A,#N/A,FALSE,"C-7";#N/A,#N/A,FALSE,"C-8";#N/A,#N/A,FALSE,"T-2";#N/A,#N/A,FALSE,"C-9A";#N/A,#N/A,FALSE,"C-9B";#N/A,#N/A,FALSE,"T-3";#N/A,#N/A,FALSE,"T-4";#N/A,#N/A,FALSE,"C-10";#N/A,#N/A,FALSE,"T-5";#N/A,#N/A,FALSE,"C-11";#N/A,#N/A,FALSE,"T-6"}</definedName>
    <definedName name="wrn.refinery." localSheetId="43" hidden="1">{#N/A,#N/A,FALSE,"T-1";#N/A,#N/A,FALSE,"C-7";#N/A,#N/A,FALSE,"C-8";#N/A,#N/A,FALSE,"T-2";#N/A,#N/A,FALSE,"C-9A";#N/A,#N/A,FALSE,"C-9B";#N/A,#N/A,FALSE,"T-3";#N/A,#N/A,FALSE,"T-4";#N/A,#N/A,FALSE,"C-10";#N/A,#N/A,FALSE,"T-5";#N/A,#N/A,FALSE,"C-11";#N/A,#N/A,FALSE,"T-6"}</definedName>
    <definedName name="wrn.refinery." localSheetId="16" hidden="1">{#N/A,#N/A,FALSE,"T-1";#N/A,#N/A,FALSE,"C-7";#N/A,#N/A,FALSE,"C-8";#N/A,#N/A,FALSE,"T-2";#N/A,#N/A,FALSE,"C-9A";#N/A,#N/A,FALSE,"C-9B";#N/A,#N/A,FALSE,"T-3";#N/A,#N/A,FALSE,"T-4";#N/A,#N/A,FALSE,"C-10";#N/A,#N/A,FALSE,"T-5";#N/A,#N/A,FALSE,"C-11";#N/A,#N/A,FALSE,"T-6"}</definedName>
    <definedName name="wrn.refinery." localSheetId="44" hidden="1">{#N/A,#N/A,FALSE,"T-1";#N/A,#N/A,FALSE,"C-7";#N/A,#N/A,FALSE,"C-8";#N/A,#N/A,FALSE,"T-2";#N/A,#N/A,FALSE,"C-9A";#N/A,#N/A,FALSE,"C-9B";#N/A,#N/A,FALSE,"T-3";#N/A,#N/A,FALSE,"T-4";#N/A,#N/A,FALSE,"C-10";#N/A,#N/A,FALSE,"T-5";#N/A,#N/A,FALSE,"C-11";#N/A,#N/A,FALSE,"T-6"}</definedName>
    <definedName name="wrn.refinery." localSheetId="45" hidden="1">{#N/A,#N/A,FALSE,"T-1";#N/A,#N/A,FALSE,"C-7";#N/A,#N/A,FALSE,"C-8";#N/A,#N/A,FALSE,"T-2";#N/A,#N/A,FALSE,"C-9A";#N/A,#N/A,FALSE,"C-9B";#N/A,#N/A,FALSE,"T-3";#N/A,#N/A,FALSE,"T-4";#N/A,#N/A,FALSE,"C-10";#N/A,#N/A,FALSE,"T-5";#N/A,#N/A,FALSE,"C-11";#N/A,#N/A,FALSE,"T-6"}</definedName>
    <definedName name="wrn.refinery." localSheetId="46" hidden="1">{#N/A,#N/A,FALSE,"T-1";#N/A,#N/A,FALSE,"C-7";#N/A,#N/A,FALSE,"C-8";#N/A,#N/A,FALSE,"T-2";#N/A,#N/A,FALSE,"C-9A";#N/A,#N/A,FALSE,"C-9B";#N/A,#N/A,FALSE,"T-3";#N/A,#N/A,FALSE,"T-4";#N/A,#N/A,FALSE,"C-10";#N/A,#N/A,FALSE,"T-5";#N/A,#N/A,FALSE,"C-11";#N/A,#N/A,FALSE,"T-6"}</definedName>
    <definedName name="wrn.refinery." localSheetId="47" hidden="1">{#N/A,#N/A,FALSE,"T-1";#N/A,#N/A,FALSE,"C-7";#N/A,#N/A,FALSE,"C-8";#N/A,#N/A,FALSE,"T-2";#N/A,#N/A,FALSE,"C-9A";#N/A,#N/A,FALSE,"C-9B";#N/A,#N/A,FALSE,"T-3";#N/A,#N/A,FALSE,"T-4";#N/A,#N/A,FALSE,"C-10";#N/A,#N/A,FALSE,"T-5";#N/A,#N/A,FALSE,"C-11";#N/A,#N/A,FALSE,"T-6"}</definedName>
    <definedName name="wrn.refinery." localSheetId="48" hidden="1">{#N/A,#N/A,FALSE,"T-1";#N/A,#N/A,FALSE,"C-7";#N/A,#N/A,FALSE,"C-8";#N/A,#N/A,FALSE,"T-2";#N/A,#N/A,FALSE,"C-9A";#N/A,#N/A,FALSE,"C-9B";#N/A,#N/A,FALSE,"T-3";#N/A,#N/A,FALSE,"T-4";#N/A,#N/A,FALSE,"C-10";#N/A,#N/A,FALSE,"T-5";#N/A,#N/A,FALSE,"C-11";#N/A,#N/A,FALSE,"T-6"}</definedName>
    <definedName name="wrn.refinery." localSheetId="49" hidden="1">{#N/A,#N/A,FALSE,"T-1";#N/A,#N/A,FALSE,"C-7";#N/A,#N/A,FALSE,"C-8";#N/A,#N/A,FALSE,"T-2";#N/A,#N/A,FALSE,"C-9A";#N/A,#N/A,FALSE,"C-9B";#N/A,#N/A,FALSE,"T-3";#N/A,#N/A,FALSE,"T-4";#N/A,#N/A,FALSE,"C-10";#N/A,#N/A,FALSE,"T-5";#N/A,#N/A,FALSE,"C-11";#N/A,#N/A,FALSE,"T-6"}</definedName>
    <definedName name="wrn.refinery." localSheetId="50" hidden="1">{#N/A,#N/A,FALSE,"T-1";#N/A,#N/A,FALSE,"C-7";#N/A,#N/A,FALSE,"C-8";#N/A,#N/A,FALSE,"T-2";#N/A,#N/A,FALSE,"C-9A";#N/A,#N/A,FALSE,"C-9B";#N/A,#N/A,FALSE,"T-3";#N/A,#N/A,FALSE,"T-4";#N/A,#N/A,FALSE,"C-10";#N/A,#N/A,FALSE,"T-5";#N/A,#N/A,FALSE,"C-11";#N/A,#N/A,FALSE,"T-6"}</definedName>
    <definedName name="wrn.refinery." localSheetId="51" hidden="1">{#N/A,#N/A,FALSE,"T-1";#N/A,#N/A,FALSE,"C-7";#N/A,#N/A,FALSE,"C-8";#N/A,#N/A,FALSE,"T-2";#N/A,#N/A,FALSE,"C-9A";#N/A,#N/A,FALSE,"C-9B";#N/A,#N/A,FALSE,"T-3";#N/A,#N/A,FALSE,"T-4";#N/A,#N/A,FALSE,"C-10";#N/A,#N/A,FALSE,"T-5";#N/A,#N/A,FALSE,"C-11";#N/A,#N/A,FALSE,"T-6"}</definedName>
    <definedName name="wrn.refinery." localSheetId="52" hidden="1">{#N/A,#N/A,FALSE,"T-1";#N/A,#N/A,FALSE,"C-7";#N/A,#N/A,FALSE,"C-8";#N/A,#N/A,FALSE,"T-2";#N/A,#N/A,FALSE,"C-9A";#N/A,#N/A,FALSE,"C-9B";#N/A,#N/A,FALSE,"T-3";#N/A,#N/A,FALSE,"T-4";#N/A,#N/A,FALSE,"C-10";#N/A,#N/A,FALSE,"T-5";#N/A,#N/A,FALSE,"C-11";#N/A,#N/A,FALSE,"T-6"}</definedName>
    <definedName name="wrn.refinery." localSheetId="12" hidden="1">{#N/A,#N/A,FALSE,"T-1";#N/A,#N/A,FALSE,"C-7";#N/A,#N/A,FALSE,"C-8";#N/A,#N/A,FALSE,"T-2";#N/A,#N/A,FALSE,"C-9A";#N/A,#N/A,FALSE,"C-9B";#N/A,#N/A,FALSE,"T-3";#N/A,#N/A,FALSE,"T-4";#N/A,#N/A,FALSE,"C-10";#N/A,#N/A,FALSE,"T-5";#N/A,#N/A,FALSE,"C-11";#N/A,#N/A,FALSE,"T-6"}</definedName>
    <definedName name="wrn.refinery." localSheetId="13" hidden="1">{#N/A,#N/A,FALSE,"T-1";#N/A,#N/A,FALSE,"C-7";#N/A,#N/A,FALSE,"C-8";#N/A,#N/A,FALSE,"T-2";#N/A,#N/A,FALSE,"C-9A";#N/A,#N/A,FALSE,"C-9B";#N/A,#N/A,FALSE,"T-3";#N/A,#N/A,FALSE,"T-4";#N/A,#N/A,FALSE,"C-10";#N/A,#N/A,FALSE,"T-5";#N/A,#N/A,FALSE,"C-11";#N/A,#N/A,FALSE,"T-6"}</definedName>
    <definedName name="wrn.refinery." localSheetId="33" hidden="1">{#N/A,#N/A,FALSE,"T-1";#N/A,#N/A,FALSE,"C-7";#N/A,#N/A,FALSE,"C-8";#N/A,#N/A,FALSE,"T-2";#N/A,#N/A,FALSE,"C-9A";#N/A,#N/A,FALSE,"C-9B";#N/A,#N/A,FALSE,"T-3";#N/A,#N/A,FALSE,"T-4";#N/A,#N/A,FALSE,"C-10";#N/A,#N/A,FALSE,"T-5";#N/A,#N/A,FALSE,"C-11";#N/A,#N/A,FALSE,"T-6"}</definedName>
    <definedName name="wrn.refinery." localSheetId="10" hidden="1">{#N/A,#N/A,FALSE,"T-1";#N/A,#N/A,FALSE,"C-7";#N/A,#N/A,FALSE,"C-8";#N/A,#N/A,FALSE,"T-2";#N/A,#N/A,FALSE,"C-9A";#N/A,#N/A,FALSE,"C-9B";#N/A,#N/A,FALSE,"T-3";#N/A,#N/A,FALSE,"T-4";#N/A,#N/A,FALSE,"C-10";#N/A,#N/A,FALSE,"T-5";#N/A,#N/A,FALSE,"C-11";#N/A,#N/A,FALSE,"T-6"}</definedName>
    <definedName name="wrn.refinery." localSheetId="29" hidden="1">{#N/A,#N/A,FALSE,"T-1";#N/A,#N/A,FALSE,"C-7";#N/A,#N/A,FALSE,"C-8";#N/A,#N/A,FALSE,"T-2";#N/A,#N/A,FALSE,"C-9A";#N/A,#N/A,FALSE,"C-9B";#N/A,#N/A,FALSE,"T-3";#N/A,#N/A,FALSE,"T-4";#N/A,#N/A,FALSE,"C-10";#N/A,#N/A,FALSE,"T-5";#N/A,#N/A,FALSE,"C-11";#N/A,#N/A,FALSE,"T-6"}</definedName>
    <definedName name="wrn.refinery." localSheetId="32" hidden="1">{#N/A,#N/A,FALSE,"T-1";#N/A,#N/A,FALSE,"C-7";#N/A,#N/A,FALSE,"C-8";#N/A,#N/A,FALSE,"T-2";#N/A,#N/A,FALSE,"C-9A";#N/A,#N/A,FALSE,"C-9B";#N/A,#N/A,FALSE,"T-3";#N/A,#N/A,FALSE,"T-4";#N/A,#N/A,FALSE,"C-10";#N/A,#N/A,FALSE,"T-5";#N/A,#N/A,FALSE,"C-11";#N/A,#N/A,FALSE,"T-6"}</definedName>
    <definedName name="wrn.refinery." localSheetId="11" hidden="1">{#N/A,#N/A,FALSE,"T-1";#N/A,#N/A,FALSE,"C-7";#N/A,#N/A,FALSE,"C-8";#N/A,#N/A,FALSE,"T-2";#N/A,#N/A,FALSE,"C-9A";#N/A,#N/A,FALSE,"C-9B";#N/A,#N/A,FALSE,"T-3";#N/A,#N/A,FALSE,"T-4";#N/A,#N/A,FALSE,"C-10";#N/A,#N/A,FALSE,"T-5";#N/A,#N/A,FALSE,"C-11";#N/A,#N/A,FALSE,"T-6"}</definedName>
    <definedName name="wrn.refinery." localSheetId="36" hidden="1">{#N/A,#N/A,FALSE,"T-1";#N/A,#N/A,FALSE,"C-7";#N/A,#N/A,FALSE,"C-8";#N/A,#N/A,FALSE,"T-2";#N/A,#N/A,FALSE,"C-9A";#N/A,#N/A,FALSE,"C-9B";#N/A,#N/A,FALSE,"T-3";#N/A,#N/A,FALSE,"T-4";#N/A,#N/A,FALSE,"C-10";#N/A,#N/A,FALSE,"T-5";#N/A,#N/A,FALSE,"C-11";#N/A,#N/A,FALSE,"T-6"}</definedName>
    <definedName name="wrn.refinery." localSheetId="35" hidden="1">{#N/A,#N/A,FALSE,"T-1";#N/A,#N/A,FALSE,"C-7";#N/A,#N/A,FALSE,"C-8";#N/A,#N/A,FALSE,"T-2";#N/A,#N/A,FALSE,"C-9A";#N/A,#N/A,FALSE,"C-9B";#N/A,#N/A,FALSE,"T-3";#N/A,#N/A,FALSE,"T-4";#N/A,#N/A,FALSE,"C-10";#N/A,#N/A,FALSE,"T-5";#N/A,#N/A,FALSE,"C-11";#N/A,#N/A,FALSE,"T-6"}</definedName>
    <definedName name="wrn.refinery." localSheetId="7" hidden="1">{#N/A,#N/A,FALSE,"T-1";#N/A,#N/A,FALSE,"C-7";#N/A,#N/A,FALSE,"C-8";#N/A,#N/A,FALSE,"T-2";#N/A,#N/A,FALSE,"C-9A";#N/A,#N/A,FALSE,"C-9B";#N/A,#N/A,FALSE,"T-3";#N/A,#N/A,FALSE,"T-4";#N/A,#N/A,FALSE,"C-10";#N/A,#N/A,FALSE,"T-5";#N/A,#N/A,FALSE,"C-11";#N/A,#N/A,FALSE,"T-6"}</definedName>
    <definedName name="wrn.refinery." localSheetId="25" hidden="1">{#N/A,#N/A,FALSE,"T-1";#N/A,#N/A,FALSE,"C-7";#N/A,#N/A,FALSE,"C-8";#N/A,#N/A,FALSE,"T-2";#N/A,#N/A,FALSE,"C-9A";#N/A,#N/A,FALSE,"C-9B";#N/A,#N/A,FALSE,"T-3";#N/A,#N/A,FALSE,"T-4";#N/A,#N/A,FALSE,"C-10";#N/A,#N/A,FALSE,"T-5";#N/A,#N/A,FALSE,"C-11";#N/A,#N/A,FALSE,"T-6"}</definedName>
    <definedName name="wrn.refinery." localSheetId="26" hidden="1">{#N/A,#N/A,FALSE,"T-1";#N/A,#N/A,FALSE,"C-7";#N/A,#N/A,FALSE,"C-8";#N/A,#N/A,FALSE,"T-2";#N/A,#N/A,FALSE,"C-9A";#N/A,#N/A,FALSE,"C-9B";#N/A,#N/A,FALSE,"T-3";#N/A,#N/A,FALSE,"T-4";#N/A,#N/A,FALSE,"C-10";#N/A,#N/A,FALSE,"T-5";#N/A,#N/A,FALSE,"C-11";#N/A,#N/A,FALSE,"T-6"}</definedName>
    <definedName name="wrn.refinery." localSheetId="24" hidden="1">{#N/A,#N/A,FALSE,"T-1";#N/A,#N/A,FALSE,"C-7";#N/A,#N/A,FALSE,"C-8";#N/A,#N/A,FALSE,"T-2";#N/A,#N/A,FALSE,"C-9A";#N/A,#N/A,FALSE,"C-9B";#N/A,#N/A,FALSE,"T-3";#N/A,#N/A,FALSE,"T-4";#N/A,#N/A,FALSE,"C-10";#N/A,#N/A,FALSE,"T-5";#N/A,#N/A,FALSE,"C-11";#N/A,#N/A,FALSE,"T-6"}</definedName>
    <definedName name="wrn.refinery." localSheetId="31" hidden="1">{#N/A,#N/A,FALSE,"T-1";#N/A,#N/A,FALSE,"C-7";#N/A,#N/A,FALSE,"C-8";#N/A,#N/A,FALSE,"T-2";#N/A,#N/A,FALSE,"C-9A";#N/A,#N/A,FALSE,"C-9B";#N/A,#N/A,FALSE,"T-3";#N/A,#N/A,FALSE,"T-4";#N/A,#N/A,FALSE,"C-10";#N/A,#N/A,FALSE,"T-5";#N/A,#N/A,FALSE,"C-11";#N/A,#N/A,FALSE,"T-6"}</definedName>
    <definedName name="wrn.refinery." localSheetId="18" hidden="1">{#N/A,#N/A,FALSE,"T-1";#N/A,#N/A,FALSE,"C-7";#N/A,#N/A,FALSE,"C-8";#N/A,#N/A,FALSE,"T-2";#N/A,#N/A,FALSE,"C-9A";#N/A,#N/A,FALSE,"C-9B";#N/A,#N/A,FALSE,"T-3";#N/A,#N/A,FALSE,"T-4";#N/A,#N/A,FALSE,"C-10";#N/A,#N/A,FALSE,"T-5";#N/A,#N/A,FALSE,"C-11";#N/A,#N/A,FALSE,"T-6"}</definedName>
    <definedName name="wrn.refinery." localSheetId="54" hidden="1">{#N/A,#N/A,FALSE,"T-1";#N/A,#N/A,FALSE,"C-7";#N/A,#N/A,FALSE,"C-8";#N/A,#N/A,FALSE,"T-2";#N/A,#N/A,FALSE,"C-9A";#N/A,#N/A,FALSE,"C-9B";#N/A,#N/A,FALSE,"T-3";#N/A,#N/A,FALSE,"T-4";#N/A,#N/A,FALSE,"C-10";#N/A,#N/A,FALSE,"T-5";#N/A,#N/A,FALSE,"C-11";#N/A,#N/A,FALSE,"T-6"}</definedName>
    <definedName name="wrn.refinery." localSheetId="30" hidden="1">{#N/A,#N/A,FALSE,"T-1";#N/A,#N/A,FALSE,"C-7";#N/A,#N/A,FALSE,"C-8";#N/A,#N/A,FALSE,"T-2";#N/A,#N/A,FALSE,"C-9A";#N/A,#N/A,FALSE,"C-9B";#N/A,#N/A,FALSE,"T-3";#N/A,#N/A,FALSE,"T-4";#N/A,#N/A,FALSE,"C-10";#N/A,#N/A,FALSE,"T-5";#N/A,#N/A,FALSE,"C-11";#N/A,#N/A,FALSE,"T-6"}</definedName>
    <definedName name="wrn.refinery." localSheetId="14" hidden="1">{#N/A,#N/A,FALSE,"T-1";#N/A,#N/A,FALSE,"C-7";#N/A,#N/A,FALSE,"C-8";#N/A,#N/A,FALSE,"T-2";#N/A,#N/A,FALSE,"C-9A";#N/A,#N/A,FALSE,"C-9B";#N/A,#N/A,FALSE,"T-3";#N/A,#N/A,FALSE,"T-4";#N/A,#N/A,FALSE,"C-10";#N/A,#N/A,FALSE,"T-5";#N/A,#N/A,FALSE,"C-11";#N/A,#N/A,FALSE,"T-6"}</definedName>
    <definedName name="wrn.refinery." localSheetId="37" hidden="1">{#N/A,#N/A,FALSE,"T-1";#N/A,#N/A,FALSE,"C-7";#N/A,#N/A,FALSE,"C-8";#N/A,#N/A,FALSE,"T-2";#N/A,#N/A,FALSE,"C-9A";#N/A,#N/A,FALSE,"C-9B";#N/A,#N/A,FALSE,"T-3";#N/A,#N/A,FALSE,"T-4";#N/A,#N/A,FALSE,"C-10";#N/A,#N/A,FALSE,"T-5";#N/A,#N/A,FALSE,"C-11";#N/A,#N/A,FALSE,"T-6"}</definedName>
    <definedName name="wrn.refinery." localSheetId="38" hidden="1">{#N/A,#N/A,FALSE,"T-1";#N/A,#N/A,FALSE,"C-7";#N/A,#N/A,FALSE,"C-8";#N/A,#N/A,FALSE,"T-2";#N/A,#N/A,FALSE,"C-9A";#N/A,#N/A,FALSE,"C-9B";#N/A,#N/A,FALSE,"T-3";#N/A,#N/A,FALSE,"T-4";#N/A,#N/A,FALSE,"C-10";#N/A,#N/A,FALSE,"T-5";#N/A,#N/A,FALSE,"C-11";#N/A,#N/A,FALSE,"T-6"}</definedName>
    <definedName name="wrn.refinery." localSheetId="39" hidden="1">{#N/A,#N/A,FALSE,"T-1";#N/A,#N/A,FALSE,"C-7";#N/A,#N/A,FALSE,"C-8";#N/A,#N/A,FALSE,"T-2";#N/A,#N/A,FALSE,"C-9A";#N/A,#N/A,FALSE,"C-9B";#N/A,#N/A,FALSE,"T-3";#N/A,#N/A,FALSE,"T-4";#N/A,#N/A,FALSE,"C-10";#N/A,#N/A,FALSE,"T-5";#N/A,#N/A,FALSE,"C-11";#N/A,#N/A,FALSE,"T-6"}</definedName>
    <definedName name="wrn.refinery." localSheetId="19" hidden="1">{#N/A,#N/A,FALSE,"T-1";#N/A,#N/A,FALSE,"C-7";#N/A,#N/A,FALSE,"C-8";#N/A,#N/A,FALSE,"T-2";#N/A,#N/A,FALSE,"C-9A";#N/A,#N/A,FALSE,"C-9B";#N/A,#N/A,FALSE,"T-3";#N/A,#N/A,FALSE,"T-4";#N/A,#N/A,FALSE,"C-10";#N/A,#N/A,FALSE,"T-5";#N/A,#N/A,FALSE,"C-11";#N/A,#N/A,FALSE,"T-6"}</definedName>
    <definedName name="wrn.refinery." localSheetId="9" hidden="1">{#N/A,#N/A,FALSE,"T-1";#N/A,#N/A,FALSE,"C-7";#N/A,#N/A,FALSE,"C-8";#N/A,#N/A,FALSE,"T-2";#N/A,#N/A,FALSE,"C-9A";#N/A,#N/A,FALSE,"C-9B";#N/A,#N/A,FALSE,"T-3";#N/A,#N/A,FALSE,"T-4";#N/A,#N/A,FALSE,"C-10";#N/A,#N/A,FALSE,"T-5";#N/A,#N/A,FALSE,"C-11";#N/A,#N/A,FALSE,"T-6"}</definedName>
    <definedName name="wrn.refinery." localSheetId="34" hidden="1">{#N/A,#N/A,FALSE,"T-1";#N/A,#N/A,FALSE,"C-7";#N/A,#N/A,FALSE,"C-8";#N/A,#N/A,FALSE,"T-2";#N/A,#N/A,FALSE,"C-9A";#N/A,#N/A,FALSE,"C-9B";#N/A,#N/A,FALSE,"T-3";#N/A,#N/A,FALSE,"T-4";#N/A,#N/A,FALSE,"C-10";#N/A,#N/A,FALSE,"T-5";#N/A,#N/A,FALSE,"C-11";#N/A,#N/A,FALSE,"T-6"}</definedName>
    <definedName name="wrn.refinery." hidden="1">{#N/A,#N/A,FALSE,"T-1";#N/A,#N/A,FALSE,"C-7";#N/A,#N/A,FALSE,"C-8";#N/A,#N/A,FALSE,"T-2";#N/A,#N/A,FALSE,"C-9A";#N/A,#N/A,FALSE,"C-9B";#N/A,#N/A,FALSE,"T-3";#N/A,#N/A,FALSE,"T-4";#N/A,#N/A,FALSE,"C-10";#N/A,#N/A,FALSE,"T-5";#N/A,#N/A,FALSE,"C-11";#N/A,#N/A,FALSE,"T-6"}</definedName>
    <definedName name="wrn.report." localSheetId="15"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0"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1"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2"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3"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6"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4"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5"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6"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7"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8"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49"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50"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51"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52"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2"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3"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3"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0"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29"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2"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1"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6"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5"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7"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25"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26"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24"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1"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8"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54"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0"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4"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7"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8"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9"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19"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9"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localSheetId="34"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report." hidden="1">{#N/A,#N/A,FALSE,"I-1";#N/A,#N/A,FALSE,"I-2";#N/A,#N/A,FALSE,"C-1M";#N/A,#N/A,FALSE,"C-2M";#N/A,#N/A,FALSE,"C-3M";#N/A,#N/A,FALSE,"C-4E";#N/A,#N/A,FALSE,"C-5E";#N/A,#N/A,FALSE,"C-6E";#N/A,#N/A,FALSE,"T-1";#N/A,#N/A,FALSE,"C-7";#N/A,#N/A,FALSE,"C-8";#N/A,#N/A,FALSE,"T-2";#N/A,#N/A,FALSE,"C-9A";#N/A,#N/A,FALSE,"C-9B";#N/A,#N/A,FALSE,"T-3";#N/A,#N/A,FALSE,"T-4";#N/A,#N/A,FALSE,"C-10A";#N/A,#N/A,FALSE,"C-10B";#N/A,#N/A,FALSE,"T-5";#N/A,#N/A,FALSE,"C-11";#N/A,#N/A,FALSE,"T-6";#N/A,#N/A,FALSE,"C-12";#N/A,#N/A,FALSE,"T-7";#N/A,#N/A,FALSE,"T-8";#N/A,#N/A,FALSE,"T-9";#N/A,#N/A,FALSE,"T-10";#N/A,#N/A,FALSE,"T-11";#N/A,#N/A,FALSE,"C-13";#N/A,#N/A,FALSE,"T-12"}</definedName>
    <definedName name="wrn.tables." localSheetId="15" hidden="1">{#N/A,#N/A,FALSE,"T-1";#N/A,#N/A,FALSE,"T-2";#N/A,#N/A,FALSE,"T-3";#N/A,#N/A,FALSE,"T-4";#N/A,#N/A,FALSE,"T-5";#N/A,#N/A,FALSE,"T-6";#N/A,#N/A,FALSE,"T-7";#N/A,#N/A,FALSE,"T-8";#N/A,#N/A,FALSE,"T-9";#N/A,#N/A,FALSE,"T-10";#N/A,#N/A,FALSE,"T-11";#N/A,#N/A,FALSE,"T-12"}</definedName>
    <definedName name="wrn.tables." localSheetId="40" hidden="1">{#N/A,#N/A,FALSE,"T-1";#N/A,#N/A,FALSE,"T-2";#N/A,#N/A,FALSE,"T-3";#N/A,#N/A,FALSE,"T-4";#N/A,#N/A,FALSE,"T-5";#N/A,#N/A,FALSE,"T-6";#N/A,#N/A,FALSE,"T-7";#N/A,#N/A,FALSE,"T-8";#N/A,#N/A,FALSE,"T-9";#N/A,#N/A,FALSE,"T-10";#N/A,#N/A,FALSE,"T-11";#N/A,#N/A,FALSE,"T-12"}</definedName>
    <definedName name="wrn.tables." localSheetId="41" hidden="1">{#N/A,#N/A,FALSE,"T-1";#N/A,#N/A,FALSE,"T-2";#N/A,#N/A,FALSE,"T-3";#N/A,#N/A,FALSE,"T-4";#N/A,#N/A,FALSE,"T-5";#N/A,#N/A,FALSE,"T-6";#N/A,#N/A,FALSE,"T-7";#N/A,#N/A,FALSE,"T-8";#N/A,#N/A,FALSE,"T-9";#N/A,#N/A,FALSE,"T-10";#N/A,#N/A,FALSE,"T-11";#N/A,#N/A,FALSE,"T-12"}</definedName>
    <definedName name="wrn.tables." localSheetId="42" hidden="1">{#N/A,#N/A,FALSE,"T-1";#N/A,#N/A,FALSE,"T-2";#N/A,#N/A,FALSE,"T-3";#N/A,#N/A,FALSE,"T-4";#N/A,#N/A,FALSE,"T-5";#N/A,#N/A,FALSE,"T-6";#N/A,#N/A,FALSE,"T-7";#N/A,#N/A,FALSE,"T-8";#N/A,#N/A,FALSE,"T-9";#N/A,#N/A,FALSE,"T-10";#N/A,#N/A,FALSE,"T-11";#N/A,#N/A,FALSE,"T-12"}</definedName>
    <definedName name="wrn.tables." localSheetId="43" hidden="1">{#N/A,#N/A,FALSE,"T-1";#N/A,#N/A,FALSE,"T-2";#N/A,#N/A,FALSE,"T-3";#N/A,#N/A,FALSE,"T-4";#N/A,#N/A,FALSE,"T-5";#N/A,#N/A,FALSE,"T-6";#N/A,#N/A,FALSE,"T-7";#N/A,#N/A,FALSE,"T-8";#N/A,#N/A,FALSE,"T-9";#N/A,#N/A,FALSE,"T-10";#N/A,#N/A,FALSE,"T-11";#N/A,#N/A,FALSE,"T-12"}</definedName>
    <definedName name="wrn.tables." localSheetId="16" hidden="1">{#N/A,#N/A,FALSE,"T-1";#N/A,#N/A,FALSE,"T-2";#N/A,#N/A,FALSE,"T-3";#N/A,#N/A,FALSE,"T-4";#N/A,#N/A,FALSE,"T-5";#N/A,#N/A,FALSE,"T-6";#N/A,#N/A,FALSE,"T-7";#N/A,#N/A,FALSE,"T-8";#N/A,#N/A,FALSE,"T-9";#N/A,#N/A,FALSE,"T-10";#N/A,#N/A,FALSE,"T-11";#N/A,#N/A,FALSE,"T-12"}</definedName>
    <definedName name="wrn.tables." localSheetId="44" hidden="1">{#N/A,#N/A,FALSE,"T-1";#N/A,#N/A,FALSE,"T-2";#N/A,#N/A,FALSE,"T-3";#N/A,#N/A,FALSE,"T-4";#N/A,#N/A,FALSE,"T-5";#N/A,#N/A,FALSE,"T-6";#N/A,#N/A,FALSE,"T-7";#N/A,#N/A,FALSE,"T-8";#N/A,#N/A,FALSE,"T-9";#N/A,#N/A,FALSE,"T-10";#N/A,#N/A,FALSE,"T-11";#N/A,#N/A,FALSE,"T-12"}</definedName>
    <definedName name="wrn.tables." localSheetId="45" hidden="1">{#N/A,#N/A,FALSE,"T-1";#N/A,#N/A,FALSE,"T-2";#N/A,#N/A,FALSE,"T-3";#N/A,#N/A,FALSE,"T-4";#N/A,#N/A,FALSE,"T-5";#N/A,#N/A,FALSE,"T-6";#N/A,#N/A,FALSE,"T-7";#N/A,#N/A,FALSE,"T-8";#N/A,#N/A,FALSE,"T-9";#N/A,#N/A,FALSE,"T-10";#N/A,#N/A,FALSE,"T-11";#N/A,#N/A,FALSE,"T-12"}</definedName>
    <definedName name="wrn.tables." localSheetId="46" hidden="1">{#N/A,#N/A,FALSE,"T-1";#N/A,#N/A,FALSE,"T-2";#N/A,#N/A,FALSE,"T-3";#N/A,#N/A,FALSE,"T-4";#N/A,#N/A,FALSE,"T-5";#N/A,#N/A,FALSE,"T-6";#N/A,#N/A,FALSE,"T-7";#N/A,#N/A,FALSE,"T-8";#N/A,#N/A,FALSE,"T-9";#N/A,#N/A,FALSE,"T-10";#N/A,#N/A,FALSE,"T-11";#N/A,#N/A,FALSE,"T-12"}</definedName>
    <definedName name="wrn.tables." localSheetId="47" hidden="1">{#N/A,#N/A,FALSE,"T-1";#N/A,#N/A,FALSE,"T-2";#N/A,#N/A,FALSE,"T-3";#N/A,#N/A,FALSE,"T-4";#N/A,#N/A,FALSE,"T-5";#N/A,#N/A,FALSE,"T-6";#N/A,#N/A,FALSE,"T-7";#N/A,#N/A,FALSE,"T-8";#N/A,#N/A,FALSE,"T-9";#N/A,#N/A,FALSE,"T-10";#N/A,#N/A,FALSE,"T-11";#N/A,#N/A,FALSE,"T-12"}</definedName>
    <definedName name="wrn.tables." localSheetId="48" hidden="1">{#N/A,#N/A,FALSE,"T-1";#N/A,#N/A,FALSE,"T-2";#N/A,#N/A,FALSE,"T-3";#N/A,#N/A,FALSE,"T-4";#N/A,#N/A,FALSE,"T-5";#N/A,#N/A,FALSE,"T-6";#N/A,#N/A,FALSE,"T-7";#N/A,#N/A,FALSE,"T-8";#N/A,#N/A,FALSE,"T-9";#N/A,#N/A,FALSE,"T-10";#N/A,#N/A,FALSE,"T-11";#N/A,#N/A,FALSE,"T-12"}</definedName>
    <definedName name="wrn.tables." localSheetId="49" hidden="1">{#N/A,#N/A,FALSE,"T-1";#N/A,#N/A,FALSE,"T-2";#N/A,#N/A,FALSE,"T-3";#N/A,#N/A,FALSE,"T-4";#N/A,#N/A,FALSE,"T-5";#N/A,#N/A,FALSE,"T-6";#N/A,#N/A,FALSE,"T-7";#N/A,#N/A,FALSE,"T-8";#N/A,#N/A,FALSE,"T-9";#N/A,#N/A,FALSE,"T-10";#N/A,#N/A,FALSE,"T-11";#N/A,#N/A,FALSE,"T-12"}</definedName>
    <definedName name="wrn.tables." localSheetId="50" hidden="1">{#N/A,#N/A,FALSE,"T-1";#N/A,#N/A,FALSE,"T-2";#N/A,#N/A,FALSE,"T-3";#N/A,#N/A,FALSE,"T-4";#N/A,#N/A,FALSE,"T-5";#N/A,#N/A,FALSE,"T-6";#N/A,#N/A,FALSE,"T-7";#N/A,#N/A,FALSE,"T-8";#N/A,#N/A,FALSE,"T-9";#N/A,#N/A,FALSE,"T-10";#N/A,#N/A,FALSE,"T-11";#N/A,#N/A,FALSE,"T-12"}</definedName>
    <definedName name="wrn.tables." localSheetId="51" hidden="1">{#N/A,#N/A,FALSE,"T-1";#N/A,#N/A,FALSE,"T-2";#N/A,#N/A,FALSE,"T-3";#N/A,#N/A,FALSE,"T-4";#N/A,#N/A,FALSE,"T-5";#N/A,#N/A,FALSE,"T-6";#N/A,#N/A,FALSE,"T-7";#N/A,#N/A,FALSE,"T-8";#N/A,#N/A,FALSE,"T-9";#N/A,#N/A,FALSE,"T-10";#N/A,#N/A,FALSE,"T-11";#N/A,#N/A,FALSE,"T-12"}</definedName>
    <definedName name="wrn.tables." localSheetId="52" hidden="1">{#N/A,#N/A,FALSE,"T-1";#N/A,#N/A,FALSE,"T-2";#N/A,#N/A,FALSE,"T-3";#N/A,#N/A,FALSE,"T-4";#N/A,#N/A,FALSE,"T-5";#N/A,#N/A,FALSE,"T-6";#N/A,#N/A,FALSE,"T-7";#N/A,#N/A,FALSE,"T-8";#N/A,#N/A,FALSE,"T-9";#N/A,#N/A,FALSE,"T-10";#N/A,#N/A,FALSE,"T-11";#N/A,#N/A,FALSE,"T-12"}</definedName>
    <definedName name="wrn.tables." localSheetId="12" hidden="1">{#N/A,#N/A,FALSE,"T-1";#N/A,#N/A,FALSE,"T-2";#N/A,#N/A,FALSE,"T-3";#N/A,#N/A,FALSE,"T-4";#N/A,#N/A,FALSE,"T-5";#N/A,#N/A,FALSE,"T-6";#N/A,#N/A,FALSE,"T-7";#N/A,#N/A,FALSE,"T-8";#N/A,#N/A,FALSE,"T-9";#N/A,#N/A,FALSE,"T-10";#N/A,#N/A,FALSE,"T-11";#N/A,#N/A,FALSE,"T-12"}</definedName>
    <definedName name="wrn.tables." localSheetId="13" hidden="1">{#N/A,#N/A,FALSE,"T-1";#N/A,#N/A,FALSE,"T-2";#N/A,#N/A,FALSE,"T-3";#N/A,#N/A,FALSE,"T-4";#N/A,#N/A,FALSE,"T-5";#N/A,#N/A,FALSE,"T-6";#N/A,#N/A,FALSE,"T-7";#N/A,#N/A,FALSE,"T-8";#N/A,#N/A,FALSE,"T-9";#N/A,#N/A,FALSE,"T-10";#N/A,#N/A,FALSE,"T-11";#N/A,#N/A,FALSE,"T-12"}</definedName>
    <definedName name="wrn.tables." localSheetId="33" hidden="1">{#N/A,#N/A,FALSE,"T-1";#N/A,#N/A,FALSE,"T-2";#N/A,#N/A,FALSE,"T-3";#N/A,#N/A,FALSE,"T-4";#N/A,#N/A,FALSE,"T-5";#N/A,#N/A,FALSE,"T-6";#N/A,#N/A,FALSE,"T-7";#N/A,#N/A,FALSE,"T-8";#N/A,#N/A,FALSE,"T-9";#N/A,#N/A,FALSE,"T-10";#N/A,#N/A,FALSE,"T-11";#N/A,#N/A,FALSE,"T-12"}</definedName>
    <definedName name="wrn.tables." localSheetId="10" hidden="1">{#N/A,#N/A,FALSE,"T-1";#N/A,#N/A,FALSE,"T-2";#N/A,#N/A,FALSE,"T-3";#N/A,#N/A,FALSE,"T-4";#N/A,#N/A,FALSE,"T-5";#N/A,#N/A,FALSE,"T-6";#N/A,#N/A,FALSE,"T-7";#N/A,#N/A,FALSE,"T-8";#N/A,#N/A,FALSE,"T-9";#N/A,#N/A,FALSE,"T-10";#N/A,#N/A,FALSE,"T-11";#N/A,#N/A,FALSE,"T-12"}</definedName>
    <definedName name="wrn.tables." localSheetId="29" hidden="1">{#N/A,#N/A,FALSE,"T-1";#N/A,#N/A,FALSE,"T-2";#N/A,#N/A,FALSE,"T-3";#N/A,#N/A,FALSE,"T-4";#N/A,#N/A,FALSE,"T-5";#N/A,#N/A,FALSE,"T-6";#N/A,#N/A,FALSE,"T-7";#N/A,#N/A,FALSE,"T-8";#N/A,#N/A,FALSE,"T-9";#N/A,#N/A,FALSE,"T-10";#N/A,#N/A,FALSE,"T-11";#N/A,#N/A,FALSE,"T-12"}</definedName>
    <definedName name="wrn.tables." localSheetId="32" hidden="1">{#N/A,#N/A,FALSE,"T-1";#N/A,#N/A,FALSE,"T-2";#N/A,#N/A,FALSE,"T-3";#N/A,#N/A,FALSE,"T-4";#N/A,#N/A,FALSE,"T-5";#N/A,#N/A,FALSE,"T-6";#N/A,#N/A,FALSE,"T-7";#N/A,#N/A,FALSE,"T-8";#N/A,#N/A,FALSE,"T-9";#N/A,#N/A,FALSE,"T-10";#N/A,#N/A,FALSE,"T-11";#N/A,#N/A,FALSE,"T-12"}</definedName>
    <definedName name="wrn.tables." localSheetId="11" hidden="1">{#N/A,#N/A,FALSE,"T-1";#N/A,#N/A,FALSE,"T-2";#N/A,#N/A,FALSE,"T-3";#N/A,#N/A,FALSE,"T-4";#N/A,#N/A,FALSE,"T-5";#N/A,#N/A,FALSE,"T-6";#N/A,#N/A,FALSE,"T-7";#N/A,#N/A,FALSE,"T-8";#N/A,#N/A,FALSE,"T-9";#N/A,#N/A,FALSE,"T-10";#N/A,#N/A,FALSE,"T-11";#N/A,#N/A,FALSE,"T-12"}</definedName>
    <definedName name="wrn.tables." localSheetId="36" hidden="1">{#N/A,#N/A,FALSE,"T-1";#N/A,#N/A,FALSE,"T-2";#N/A,#N/A,FALSE,"T-3";#N/A,#N/A,FALSE,"T-4";#N/A,#N/A,FALSE,"T-5";#N/A,#N/A,FALSE,"T-6";#N/A,#N/A,FALSE,"T-7";#N/A,#N/A,FALSE,"T-8";#N/A,#N/A,FALSE,"T-9";#N/A,#N/A,FALSE,"T-10";#N/A,#N/A,FALSE,"T-11";#N/A,#N/A,FALSE,"T-12"}</definedName>
    <definedName name="wrn.tables." localSheetId="35" hidden="1">{#N/A,#N/A,FALSE,"T-1";#N/A,#N/A,FALSE,"T-2";#N/A,#N/A,FALSE,"T-3";#N/A,#N/A,FALSE,"T-4";#N/A,#N/A,FALSE,"T-5";#N/A,#N/A,FALSE,"T-6";#N/A,#N/A,FALSE,"T-7";#N/A,#N/A,FALSE,"T-8";#N/A,#N/A,FALSE,"T-9";#N/A,#N/A,FALSE,"T-10";#N/A,#N/A,FALSE,"T-11";#N/A,#N/A,FALSE,"T-12"}</definedName>
    <definedName name="wrn.tables." localSheetId="7" hidden="1">{#N/A,#N/A,FALSE,"T-1";#N/A,#N/A,FALSE,"T-2";#N/A,#N/A,FALSE,"T-3";#N/A,#N/A,FALSE,"T-4";#N/A,#N/A,FALSE,"T-5";#N/A,#N/A,FALSE,"T-6";#N/A,#N/A,FALSE,"T-7";#N/A,#N/A,FALSE,"T-8";#N/A,#N/A,FALSE,"T-9";#N/A,#N/A,FALSE,"T-10";#N/A,#N/A,FALSE,"T-11";#N/A,#N/A,FALSE,"T-12"}</definedName>
    <definedName name="wrn.tables." localSheetId="25" hidden="1">{#N/A,#N/A,FALSE,"T-1";#N/A,#N/A,FALSE,"T-2";#N/A,#N/A,FALSE,"T-3";#N/A,#N/A,FALSE,"T-4";#N/A,#N/A,FALSE,"T-5";#N/A,#N/A,FALSE,"T-6";#N/A,#N/A,FALSE,"T-7";#N/A,#N/A,FALSE,"T-8";#N/A,#N/A,FALSE,"T-9";#N/A,#N/A,FALSE,"T-10";#N/A,#N/A,FALSE,"T-11";#N/A,#N/A,FALSE,"T-12"}</definedName>
    <definedName name="wrn.tables." localSheetId="26" hidden="1">{#N/A,#N/A,FALSE,"T-1";#N/A,#N/A,FALSE,"T-2";#N/A,#N/A,FALSE,"T-3";#N/A,#N/A,FALSE,"T-4";#N/A,#N/A,FALSE,"T-5";#N/A,#N/A,FALSE,"T-6";#N/A,#N/A,FALSE,"T-7";#N/A,#N/A,FALSE,"T-8";#N/A,#N/A,FALSE,"T-9";#N/A,#N/A,FALSE,"T-10";#N/A,#N/A,FALSE,"T-11";#N/A,#N/A,FALSE,"T-12"}</definedName>
    <definedName name="wrn.tables." localSheetId="24" hidden="1">{#N/A,#N/A,FALSE,"T-1";#N/A,#N/A,FALSE,"T-2";#N/A,#N/A,FALSE,"T-3";#N/A,#N/A,FALSE,"T-4";#N/A,#N/A,FALSE,"T-5";#N/A,#N/A,FALSE,"T-6";#N/A,#N/A,FALSE,"T-7";#N/A,#N/A,FALSE,"T-8";#N/A,#N/A,FALSE,"T-9";#N/A,#N/A,FALSE,"T-10";#N/A,#N/A,FALSE,"T-11";#N/A,#N/A,FALSE,"T-12"}</definedName>
    <definedName name="wrn.tables." localSheetId="31" hidden="1">{#N/A,#N/A,FALSE,"T-1";#N/A,#N/A,FALSE,"T-2";#N/A,#N/A,FALSE,"T-3";#N/A,#N/A,FALSE,"T-4";#N/A,#N/A,FALSE,"T-5";#N/A,#N/A,FALSE,"T-6";#N/A,#N/A,FALSE,"T-7";#N/A,#N/A,FALSE,"T-8";#N/A,#N/A,FALSE,"T-9";#N/A,#N/A,FALSE,"T-10";#N/A,#N/A,FALSE,"T-11";#N/A,#N/A,FALSE,"T-12"}</definedName>
    <definedName name="wrn.tables." localSheetId="18" hidden="1">{#N/A,#N/A,FALSE,"T-1";#N/A,#N/A,FALSE,"T-2";#N/A,#N/A,FALSE,"T-3";#N/A,#N/A,FALSE,"T-4";#N/A,#N/A,FALSE,"T-5";#N/A,#N/A,FALSE,"T-6";#N/A,#N/A,FALSE,"T-7";#N/A,#N/A,FALSE,"T-8";#N/A,#N/A,FALSE,"T-9";#N/A,#N/A,FALSE,"T-10";#N/A,#N/A,FALSE,"T-11";#N/A,#N/A,FALSE,"T-12"}</definedName>
    <definedName name="wrn.tables." localSheetId="54" hidden="1">{#N/A,#N/A,FALSE,"T-1";#N/A,#N/A,FALSE,"T-2";#N/A,#N/A,FALSE,"T-3";#N/A,#N/A,FALSE,"T-4";#N/A,#N/A,FALSE,"T-5";#N/A,#N/A,FALSE,"T-6";#N/A,#N/A,FALSE,"T-7";#N/A,#N/A,FALSE,"T-8";#N/A,#N/A,FALSE,"T-9";#N/A,#N/A,FALSE,"T-10";#N/A,#N/A,FALSE,"T-11";#N/A,#N/A,FALSE,"T-12"}</definedName>
    <definedName name="wrn.tables." localSheetId="30" hidden="1">{#N/A,#N/A,FALSE,"T-1";#N/A,#N/A,FALSE,"T-2";#N/A,#N/A,FALSE,"T-3";#N/A,#N/A,FALSE,"T-4";#N/A,#N/A,FALSE,"T-5";#N/A,#N/A,FALSE,"T-6";#N/A,#N/A,FALSE,"T-7";#N/A,#N/A,FALSE,"T-8";#N/A,#N/A,FALSE,"T-9";#N/A,#N/A,FALSE,"T-10";#N/A,#N/A,FALSE,"T-11";#N/A,#N/A,FALSE,"T-12"}</definedName>
    <definedName name="wrn.tables." localSheetId="14" hidden="1">{#N/A,#N/A,FALSE,"T-1";#N/A,#N/A,FALSE,"T-2";#N/A,#N/A,FALSE,"T-3";#N/A,#N/A,FALSE,"T-4";#N/A,#N/A,FALSE,"T-5";#N/A,#N/A,FALSE,"T-6";#N/A,#N/A,FALSE,"T-7";#N/A,#N/A,FALSE,"T-8";#N/A,#N/A,FALSE,"T-9";#N/A,#N/A,FALSE,"T-10";#N/A,#N/A,FALSE,"T-11";#N/A,#N/A,FALSE,"T-12"}</definedName>
    <definedName name="wrn.tables." localSheetId="37" hidden="1">{#N/A,#N/A,FALSE,"T-1";#N/A,#N/A,FALSE,"T-2";#N/A,#N/A,FALSE,"T-3";#N/A,#N/A,FALSE,"T-4";#N/A,#N/A,FALSE,"T-5";#N/A,#N/A,FALSE,"T-6";#N/A,#N/A,FALSE,"T-7";#N/A,#N/A,FALSE,"T-8";#N/A,#N/A,FALSE,"T-9";#N/A,#N/A,FALSE,"T-10";#N/A,#N/A,FALSE,"T-11";#N/A,#N/A,FALSE,"T-12"}</definedName>
    <definedName name="wrn.tables." localSheetId="38" hidden="1">{#N/A,#N/A,FALSE,"T-1";#N/A,#N/A,FALSE,"T-2";#N/A,#N/A,FALSE,"T-3";#N/A,#N/A,FALSE,"T-4";#N/A,#N/A,FALSE,"T-5";#N/A,#N/A,FALSE,"T-6";#N/A,#N/A,FALSE,"T-7";#N/A,#N/A,FALSE,"T-8";#N/A,#N/A,FALSE,"T-9";#N/A,#N/A,FALSE,"T-10";#N/A,#N/A,FALSE,"T-11";#N/A,#N/A,FALSE,"T-12"}</definedName>
    <definedName name="wrn.tables." localSheetId="39" hidden="1">{#N/A,#N/A,FALSE,"T-1";#N/A,#N/A,FALSE,"T-2";#N/A,#N/A,FALSE,"T-3";#N/A,#N/A,FALSE,"T-4";#N/A,#N/A,FALSE,"T-5";#N/A,#N/A,FALSE,"T-6";#N/A,#N/A,FALSE,"T-7";#N/A,#N/A,FALSE,"T-8";#N/A,#N/A,FALSE,"T-9";#N/A,#N/A,FALSE,"T-10";#N/A,#N/A,FALSE,"T-11";#N/A,#N/A,FALSE,"T-12"}</definedName>
    <definedName name="wrn.tables." localSheetId="19" hidden="1">{#N/A,#N/A,FALSE,"T-1";#N/A,#N/A,FALSE,"T-2";#N/A,#N/A,FALSE,"T-3";#N/A,#N/A,FALSE,"T-4";#N/A,#N/A,FALSE,"T-5";#N/A,#N/A,FALSE,"T-6";#N/A,#N/A,FALSE,"T-7";#N/A,#N/A,FALSE,"T-8";#N/A,#N/A,FALSE,"T-9";#N/A,#N/A,FALSE,"T-10";#N/A,#N/A,FALSE,"T-11";#N/A,#N/A,FALSE,"T-12"}</definedName>
    <definedName name="wrn.tables." localSheetId="9" hidden="1">{#N/A,#N/A,FALSE,"T-1";#N/A,#N/A,FALSE,"T-2";#N/A,#N/A,FALSE,"T-3";#N/A,#N/A,FALSE,"T-4";#N/A,#N/A,FALSE,"T-5";#N/A,#N/A,FALSE,"T-6";#N/A,#N/A,FALSE,"T-7";#N/A,#N/A,FALSE,"T-8";#N/A,#N/A,FALSE,"T-9";#N/A,#N/A,FALSE,"T-10";#N/A,#N/A,FALSE,"T-11";#N/A,#N/A,FALSE,"T-12"}</definedName>
    <definedName name="wrn.tables." localSheetId="34" hidden="1">{#N/A,#N/A,FALSE,"T-1";#N/A,#N/A,FALSE,"T-2";#N/A,#N/A,FALSE,"T-3";#N/A,#N/A,FALSE,"T-4";#N/A,#N/A,FALSE,"T-5";#N/A,#N/A,FALSE,"T-6";#N/A,#N/A,FALSE,"T-7";#N/A,#N/A,FALSE,"T-8";#N/A,#N/A,FALSE,"T-9";#N/A,#N/A,FALSE,"T-10";#N/A,#N/A,FALSE,"T-11";#N/A,#N/A,FALSE,"T-12"}</definedName>
    <definedName name="wrn.tables." hidden="1">{#N/A,#N/A,FALSE,"T-1";#N/A,#N/A,FALSE,"T-2";#N/A,#N/A,FALSE,"T-3";#N/A,#N/A,FALSE,"T-4";#N/A,#N/A,FALSE,"T-5";#N/A,#N/A,FALSE,"T-6";#N/A,#N/A,FALSE,"T-7";#N/A,#N/A,FALSE,"T-8";#N/A,#N/A,FALSE,"T-9";#N/A,#N/A,FALSE,"T-10";#N/A,#N/A,FALSE,"T-11";#N/A,#N/A,FALSE,"T-12"}</definedName>
    <definedName name="wrn.working." localSheetId="15" hidden="1">{#N/A,#N/A,FALSE,"DCF";#N/A,#N/A,FALSE,"GM";#N/A,#N/A,FALSE,"Prices-Delvd";#N/A,#N/A,FALSE,"Vol";#N/A,#N/A,FALSE,"VolB_D"}</definedName>
    <definedName name="wrn.working." localSheetId="40" hidden="1">{#N/A,#N/A,FALSE,"DCF";#N/A,#N/A,FALSE,"GM";#N/A,#N/A,FALSE,"Prices-Delvd";#N/A,#N/A,FALSE,"Vol";#N/A,#N/A,FALSE,"VolB_D"}</definedName>
    <definedName name="wrn.working." localSheetId="41" hidden="1">{#N/A,#N/A,FALSE,"DCF";#N/A,#N/A,FALSE,"GM";#N/A,#N/A,FALSE,"Prices-Delvd";#N/A,#N/A,FALSE,"Vol";#N/A,#N/A,FALSE,"VolB_D"}</definedName>
    <definedName name="wrn.working." localSheetId="42" hidden="1">{#N/A,#N/A,FALSE,"DCF";#N/A,#N/A,FALSE,"GM";#N/A,#N/A,FALSE,"Prices-Delvd";#N/A,#N/A,FALSE,"Vol";#N/A,#N/A,FALSE,"VolB_D"}</definedName>
    <definedName name="wrn.working." localSheetId="43" hidden="1">{#N/A,#N/A,FALSE,"DCF";#N/A,#N/A,FALSE,"GM";#N/A,#N/A,FALSE,"Prices-Delvd";#N/A,#N/A,FALSE,"Vol";#N/A,#N/A,FALSE,"VolB_D"}</definedName>
    <definedName name="wrn.working." localSheetId="16" hidden="1">{#N/A,#N/A,FALSE,"DCF";#N/A,#N/A,FALSE,"GM";#N/A,#N/A,FALSE,"Prices-Delvd";#N/A,#N/A,FALSE,"Vol";#N/A,#N/A,FALSE,"VolB_D"}</definedName>
    <definedName name="wrn.working." localSheetId="44" hidden="1">{#N/A,#N/A,FALSE,"DCF";#N/A,#N/A,FALSE,"GM";#N/A,#N/A,FALSE,"Prices-Delvd";#N/A,#N/A,FALSE,"Vol";#N/A,#N/A,FALSE,"VolB_D"}</definedName>
    <definedName name="wrn.working." localSheetId="45" hidden="1">{#N/A,#N/A,FALSE,"DCF";#N/A,#N/A,FALSE,"GM";#N/A,#N/A,FALSE,"Prices-Delvd";#N/A,#N/A,FALSE,"Vol";#N/A,#N/A,FALSE,"VolB_D"}</definedName>
    <definedName name="wrn.working." localSheetId="46" hidden="1">{#N/A,#N/A,FALSE,"DCF";#N/A,#N/A,FALSE,"GM";#N/A,#N/A,FALSE,"Prices-Delvd";#N/A,#N/A,FALSE,"Vol";#N/A,#N/A,FALSE,"VolB_D"}</definedName>
    <definedName name="wrn.working." localSheetId="47" hidden="1">{#N/A,#N/A,FALSE,"DCF";#N/A,#N/A,FALSE,"GM";#N/A,#N/A,FALSE,"Prices-Delvd";#N/A,#N/A,FALSE,"Vol";#N/A,#N/A,FALSE,"VolB_D"}</definedName>
    <definedName name="wrn.working." localSheetId="48" hidden="1">{#N/A,#N/A,FALSE,"DCF";#N/A,#N/A,FALSE,"GM";#N/A,#N/A,FALSE,"Prices-Delvd";#N/A,#N/A,FALSE,"Vol";#N/A,#N/A,FALSE,"VolB_D"}</definedName>
    <definedName name="wrn.working." localSheetId="49" hidden="1">{#N/A,#N/A,FALSE,"DCF";#N/A,#N/A,FALSE,"GM";#N/A,#N/A,FALSE,"Prices-Delvd";#N/A,#N/A,FALSE,"Vol";#N/A,#N/A,FALSE,"VolB_D"}</definedName>
    <definedName name="wrn.working." localSheetId="50" hidden="1">{#N/A,#N/A,FALSE,"DCF";#N/A,#N/A,FALSE,"GM";#N/A,#N/A,FALSE,"Prices-Delvd";#N/A,#N/A,FALSE,"Vol";#N/A,#N/A,FALSE,"VolB_D"}</definedName>
    <definedName name="wrn.working." localSheetId="51" hidden="1">{#N/A,#N/A,FALSE,"DCF";#N/A,#N/A,FALSE,"GM";#N/A,#N/A,FALSE,"Prices-Delvd";#N/A,#N/A,FALSE,"Vol";#N/A,#N/A,FALSE,"VolB_D"}</definedName>
    <definedName name="wrn.working." localSheetId="52" hidden="1">{#N/A,#N/A,FALSE,"DCF";#N/A,#N/A,FALSE,"GM";#N/A,#N/A,FALSE,"Prices-Delvd";#N/A,#N/A,FALSE,"Vol";#N/A,#N/A,FALSE,"VolB_D"}</definedName>
    <definedName name="wrn.working." localSheetId="12" hidden="1">{#N/A,#N/A,FALSE,"DCF";#N/A,#N/A,FALSE,"GM";#N/A,#N/A,FALSE,"Prices-Delvd";#N/A,#N/A,FALSE,"Vol";#N/A,#N/A,FALSE,"VolB_D"}</definedName>
    <definedName name="wrn.working." localSheetId="13" hidden="1">{#N/A,#N/A,FALSE,"DCF";#N/A,#N/A,FALSE,"GM";#N/A,#N/A,FALSE,"Prices-Delvd";#N/A,#N/A,FALSE,"Vol";#N/A,#N/A,FALSE,"VolB_D"}</definedName>
    <definedName name="wrn.working." localSheetId="33" hidden="1">{#N/A,#N/A,FALSE,"DCF";#N/A,#N/A,FALSE,"GM";#N/A,#N/A,FALSE,"Prices-Delvd";#N/A,#N/A,FALSE,"Vol";#N/A,#N/A,FALSE,"VolB_D"}</definedName>
    <definedName name="wrn.working." localSheetId="10" hidden="1">{#N/A,#N/A,FALSE,"DCF";#N/A,#N/A,FALSE,"GM";#N/A,#N/A,FALSE,"Prices-Delvd";#N/A,#N/A,FALSE,"Vol";#N/A,#N/A,FALSE,"VolB_D"}</definedName>
    <definedName name="wrn.working." localSheetId="29" hidden="1">{#N/A,#N/A,FALSE,"DCF";#N/A,#N/A,FALSE,"GM";#N/A,#N/A,FALSE,"Prices-Delvd";#N/A,#N/A,FALSE,"Vol";#N/A,#N/A,FALSE,"VolB_D"}</definedName>
    <definedName name="wrn.working." localSheetId="32" hidden="1">{#N/A,#N/A,FALSE,"DCF";#N/A,#N/A,FALSE,"GM";#N/A,#N/A,FALSE,"Prices-Delvd";#N/A,#N/A,FALSE,"Vol";#N/A,#N/A,FALSE,"VolB_D"}</definedName>
    <definedName name="wrn.working." localSheetId="11" hidden="1">{#N/A,#N/A,FALSE,"DCF";#N/A,#N/A,FALSE,"GM";#N/A,#N/A,FALSE,"Prices-Delvd";#N/A,#N/A,FALSE,"Vol";#N/A,#N/A,FALSE,"VolB_D"}</definedName>
    <definedName name="wrn.working." localSheetId="36" hidden="1">{#N/A,#N/A,FALSE,"DCF";#N/A,#N/A,FALSE,"GM";#N/A,#N/A,FALSE,"Prices-Delvd";#N/A,#N/A,FALSE,"Vol";#N/A,#N/A,FALSE,"VolB_D"}</definedName>
    <definedName name="wrn.working." localSheetId="35" hidden="1">{#N/A,#N/A,FALSE,"DCF";#N/A,#N/A,FALSE,"GM";#N/A,#N/A,FALSE,"Prices-Delvd";#N/A,#N/A,FALSE,"Vol";#N/A,#N/A,FALSE,"VolB_D"}</definedName>
    <definedName name="wrn.working." localSheetId="7" hidden="1">{#N/A,#N/A,FALSE,"DCF";#N/A,#N/A,FALSE,"GM";#N/A,#N/A,FALSE,"Prices-Delvd";#N/A,#N/A,FALSE,"Vol";#N/A,#N/A,FALSE,"VolB_D"}</definedName>
    <definedName name="wrn.working." localSheetId="25" hidden="1">{#N/A,#N/A,FALSE,"DCF";#N/A,#N/A,FALSE,"GM";#N/A,#N/A,FALSE,"Prices-Delvd";#N/A,#N/A,FALSE,"Vol";#N/A,#N/A,FALSE,"VolB_D"}</definedName>
    <definedName name="wrn.working." localSheetId="26" hidden="1">{#N/A,#N/A,FALSE,"DCF";#N/A,#N/A,FALSE,"GM";#N/A,#N/A,FALSE,"Prices-Delvd";#N/A,#N/A,FALSE,"Vol";#N/A,#N/A,FALSE,"VolB_D"}</definedName>
    <definedName name="wrn.working." localSheetId="24" hidden="1">{#N/A,#N/A,FALSE,"DCF";#N/A,#N/A,FALSE,"GM";#N/A,#N/A,FALSE,"Prices-Delvd";#N/A,#N/A,FALSE,"Vol";#N/A,#N/A,FALSE,"VolB_D"}</definedName>
    <definedName name="wrn.working." localSheetId="31" hidden="1">{#N/A,#N/A,FALSE,"DCF";#N/A,#N/A,FALSE,"GM";#N/A,#N/A,FALSE,"Prices-Delvd";#N/A,#N/A,FALSE,"Vol";#N/A,#N/A,FALSE,"VolB_D"}</definedName>
    <definedName name="wrn.working." localSheetId="18" hidden="1">{#N/A,#N/A,FALSE,"DCF";#N/A,#N/A,FALSE,"GM";#N/A,#N/A,FALSE,"Prices-Delvd";#N/A,#N/A,FALSE,"Vol";#N/A,#N/A,FALSE,"VolB_D"}</definedName>
    <definedName name="wrn.working." localSheetId="54" hidden="1">{#N/A,#N/A,FALSE,"DCF";#N/A,#N/A,FALSE,"GM";#N/A,#N/A,FALSE,"Prices-Delvd";#N/A,#N/A,FALSE,"Vol";#N/A,#N/A,FALSE,"VolB_D"}</definedName>
    <definedName name="wrn.working." localSheetId="30" hidden="1">{#N/A,#N/A,FALSE,"DCF";#N/A,#N/A,FALSE,"GM";#N/A,#N/A,FALSE,"Prices-Delvd";#N/A,#N/A,FALSE,"Vol";#N/A,#N/A,FALSE,"VolB_D"}</definedName>
    <definedName name="wrn.working." localSheetId="14" hidden="1">{#N/A,#N/A,FALSE,"DCF";#N/A,#N/A,FALSE,"GM";#N/A,#N/A,FALSE,"Prices-Delvd";#N/A,#N/A,FALSE,"Vol";#N/A,#N/A,FALSE,"VolB_D"}</definedName>
    <definedName name="wrn.working." localSheetId="37" hidden="1">{#N/A,#N/A,FALSE,"DCF";#N/A,#N/A,FALSE,"GM";#N/A,#N/A,FALSE,"Prices-Delvd";#N/A,#N/A,FALSE,"Vol";#N/A,#N/A,FALSE,"VolB_D"}</definedName>
    <definedName name="wrn.working." localSheetId="38" hidden="1">{#N/A,#N/A,FALSE,"DCF";#N/A,#N/A,FALSE,"GM";#N/A,#N/A,FALSE,"Prices-Delvd";#N/A,#N/A,FALSE,"Vol";#N/A,#N/A,FALSE,"VolB_D"}</definedName>
    <definedName name="wrn.working." localSheetId="39" hidden="1">{#N/A,#N/A,FALSE,"DCF";#N/A,#N/A,FALSE,"GM";#N/A,#N/A,FALSE,"Prices-Delvd";#N/A,#N/A,FALSE,"Vol";#N/A,#N/A,FALSE,"VolB_D"}</definedName>
    <definedName name="wrn.working." localSheetId="19" hidden="1">{#N/A,#N/A,FALSE,"DCF";#N/A,#N/A,FALSE,"GM";#N/A,#N/A,FALSE,"Prices-Delvd";#N/A,#N/A,FALSE,"Vol";#N/A,#N/A,FALSE,"VolB_D"}</definedName>
    <definedName name="wrn.working." localSheetId="9" hidden="1">{#N/A,#N/A,FALSE,"DCF";#N/A,#N/A,FALSE,"GM";#N/A,#N/A,FALSE,"Prices-Delvd";#N/A,#N/A,FALSE,"Vol";#N/A,#N/A,FALSE,"VolB_D"}</definedName>
    <definedName name="wrn.working." localSheetId="34" hidden="1">{#N/A,#N/A,FALSE,"DCF";#N/A,#N/A,FALSE,"GM";#N/A,#N/A,FALSE,"Prices-Delvd";#N/A,#N/A,FALSE,"Vol";#N/A,#N/A,FALSE,"VolB_D"}</definedName>
    <definedName name="wrn.working." hidden="1">{#N/A,#N/A,FALSE,"DCF";#N/A,#N/A,FALSE,"GM";#N/A,#N/A,FALSE,"Prices-Delvd";#N/A,#N/A,FALSE,"Vol";#N/A,#N/A,FALSE,"VolB_D"}</definedName>
    <definedName name="ww" localSheetId="15" hidden="1">{#N/A,#N/A,TRUE,"Nagłówek"}</definedName>
    <definedName name="ww" localSheetId="40" hidden="1">{#N/A,#N/A,TRUE,"Nagłówek"}</definedName>
    <definedName name="ww" localSheetId="41" hidden="1">{#N/A,#N/A,TRUE,"Nagłówek"}</definedName>
    <definedName name="ww" localSheetId="42" hidden="1">{#N/A,#N/A,TRUE,"Nagłówek"}</definedName>
    <definedName name="ww" localSheetId="43" hidden="1">{#N/A,#N/A,TRUE,"Nagłówek"}</definedName>
    <definedName name="ww" localSheetId="16" hidden="1">{#N/A,#N/A,TRUE,"Nagłówek"}</definedName>
    <definedName name="ww" localSheetId="44" hidden="1">{#N/A,#N/A,TRUE,"Nagłówek"}</definedName>
    <definedName name="ww" localSheetId="45" hidden="1">{#N/A,#N/A,TRUE,"Nagłówek"}</definedName>
    <definedName name="ww" localSheetId="46" hidden="1">{#N/A,#N/A,TRUE,"Nagłówek"}</definedName>
    <definedName name="ww" localSheetId="47" hidden="1">{#N/A,#N/A,TRUE,"Nagłówek"}</definedName>
    <definedName name="ww" localSheetId="48" hidden="1">{#N/A,#N/A,TRUE,"Nagłówek"}</definedName>
    <definedName name="ww" localSheetId="49" hidden="1">{#N/A,#N/A,TRUE,"Nagłówek"}</definedName>
    <definedName name="ww" localSheetId="50" hidden="1">{#N/A,#N/A,TRUE,"Nagłówek"}</definedName>
    <definedName name="ww" localSheetId="51" hidden="1">{#N/A,#N/A,TRUE,"Nagłówek"}</definedName>
    <definedName name="ww" localSheetId="52" hidden="1">{#N/A,#N/A,TRUE,"Nagłówek"}</definedName>
    <definedName name="ww" localSheetId="12" hidden="1">{#N/A,#N/A,TRUE,"Nagłówek"}</definedName>
    <definedName name="ww" localSheetId="13" hidden="1">{#N/A,#N/A,TRUE,"Nagłówek"}</definedName>
    <definedName name="ww" localSheetId="33" hidden="1">{#N/A,#N/A,TRUE,"Nagłówek"}</definedName>
    <definedName name="ww" localSheetId="10" hidden="1">{#N/A,#N/A,TRUE,"Nagłówek"}</definedName>
    <definedName name="ww" localSheetId="29" hidden="1">{#N/A,#N/A,TRUE,"Nagłówek"}</definedName>
    <definedName name="ww" localSheetId="32" hidden="1">{#N/A,#N/A,TRUE,"Nagłówek"}</definedName>
    <definedName name="ww" localSheetId="11" hidden="1">{#N/A,#N/A,TRUE,"Nagłówek"}</definedName>
    <definedName name="ww" localSheetId="36" hidden="1">{#N/A,#N/A,TRUE,"Nagłówek"}</definedName>
    <definedName name="ww" localSheetId="35" hidden="1">{#N/A,#N/A,TRUE,"Nagłówek"}</definedName>
    <definedName name="ww" localSheetId="7" hidden="1">{#N/A,#N/A,TRUE,"Nagłówek"}</definedName>
    <definedName name="ww" localSheetId="25" hidden="1">{#N/A,#N/A,TRUE,"Nagłówek"}</definedName>
    <definedName name="ww" localSheetId="26" hidden="1">{#N/A,#N/A,TRUE,"Nagłówek"}</definedName>
    <definedName name="ww" localSheetId="24" hidden="1">{#N/A,#N/A,TRUE,"Nagłówek"}</definedName>
    <definedName name="ww" localSheetId="31" hidden="1">{#N/A,#N/A,TRUE,"Nagłówek"}</definedName>
    <definedName name="ww" localSheetId="18" hidden="1">{#N/A,#N/A,TRUE,"Nagłówek"}</definedName>
    <definedName name="ww" localSheetId="54" hidden="1">{#N/A,#N/A,TRUE,"Nagłówek"}</definedName>
    <definedName name="ww" localSheetId="30" hidden="1">{#N/A,#N/A,TRUE,"Nagłówek"}</definedName>
    <definedName name="ww" localSheetId="14" hidden="1">{#N/A,#N/A,TRUE,"Nagłówek"}</definedName>
    <definedName name="ww" localSheetId="37" hidden="1">{#N/A,#N/A,TRUE,"Nagłówek"}</definedName>
    <definedName name="ww" localSheetId="38" hidden="1">{#N/A,#N/A,TRUE,"Nagłówek"}</definedName>
    <definedName name="ww" localSheetId="39" hidden="1">{#N/A,#N/A,TRUE,"Nagłówek"}</definedName>
    <definedName name="ww" localSheetId="19" hidden="1">{#N/A,#N/A,TRUE,"Nagłówek"}</definedName>
    <definedName name="ww" localSheetId="9" hidden="1">{#N/A,#N/A,TRUE,"Nagłówek"}</definedName>
    <definedName name="ww" localSheetId="34" hidden="1">{#N/A,#N/A,TRUE,"Nagłówek"}</definedName>
    <definedName name="ww" hidden="1">{#N/A,#N/A,TRUE,"Nagłówek"}</definedName>
    <definedName name="www" localSheetId="15" hidden="1">{#N/A,#N/A,TRUE,"Nagłówek"}</definedName>
    <definedName name="www" localSheetId="40" hidden="1">{#N/A,#N/A,TRUE,"Nagłówek"}</definedName>
    <definedName name="www" localSheetId="41" hidden="1">{#N/A,#N/A,TRUE,"Nagłówek"}</definedName>
    <definedName name="www" localSheetId="42" hidden="1">{#N/A,#N/A,TRUE,"Nagłówek"}</definedName>
    <definedName name="www" localSheetId="43" hidden="1">{#N/A,#N/A,TRUE,"Nagłówek"}</definedName>
    <definedName name="www" localSheetId="16" hidden="1">{#N/A,#N/A,TRUE,"Nagłówek"}</definedName>
    <definedName name="www" localSheetId="44" hidden="1">{#N/A,#N/A,TRUE,"Nagłówek"}</definedName>
    <definedName name="www" localSheetId="45" hidden="1">{#N/A,#N/A,TRUE,"Nagłówek"}</definedName>
    <definedName name="www" localSheetId="46" hidden="1">{#N/A,#N/A,TRUE,"Nagłówek"}</definedName>
    <definedName name="www" localSheetId="47" hidden="1">{#N/A,#N/A,TRUE,"Nagłówek"}</definedName>
    <definedName name="www" localSheetId="48" hidden="1">{#N/A,#N/A,TRUE,"Nagłówek"}</definedName>
    <definedName name="www" localSheetId="49" hidden="1">{#N/A,#N/A,TRUE,"Nagłówek"}</definedName>
    <definedName name="www" localSheetId="50" hidden="1">{#N/A,#N/A,TRUE,"Nagłówek"}</definedName>
    <definedName name="www" localSheetId="51" hidden="1">{#N/A,#N/A,TRUE,"Nagłówek"}</definedName>
    <definedName name="www" localSheetId="52" hidden="1">{#N/A,#N/A,TRUE,"Nagłówek"}</definedName>
    <definedName name="www" localSheetId="12" hidden="1">{#N/A,#N/A,TRUE,"Nagłówek"}</definedName>
    <definedName name="www" localSheetId="13" hidden="1">{#N/A,#N/A,TRUE,"Nagłówek"}</definedName>
    <definedName name="www" localSheetId="33" hidden="1">{#N/A,#N/A,TRUE,"Nagłówek"}</definedName>
    <definedName name="www" localSheetId="10" hidden="1">{#N/A,#N/A,TRUE,"Nagłówek"}</definedName>
    <definedName name="www" localSheetId="29" hidden="1">{#N/A,#N/A,TRUE,"Nagłówek"}</definedName>
    <definedName name="www" localSheetId="32" hidden="1">{#N/A,#N/A,TRUE,"Nagłówek"}</definedName>
    <definedName name="www" localSheetId="11" hidden="1">{#N/A,#N/A,TRUE,"Nagłówek"}</definedName>
    <definedName name="www" localSheetId="36" hidden="1">{#N/A,#N/A,TRUE,"Nagłówek"}</definedName>
    <definedName name="www" localSheetId="35" hidden="1">{#N/A,#N/A,TRUE,"Nagłówek"}</definedName>
    <definedName name="www" localSheetId="7" hidden="1">{#N/A,#N/A,TRUE,"Nagłówek"}</definedName>
    <definedName name="www" localSheetId="25" hidden="1">{#N/A,#N/A,TRUE,"Nagłówek"}</definedName>
    <definedName name="www" localSheetId="26" hidden="1">{#N/A,#N/A,TRUE,"Nagłówek"}</definedName>
    <definedName name="www" localSheetId="24" hidden="1">{#N/A,#N/A,TRUE,"Nagłówek"}</definedName>
    <definedName name="www" localSheetId="31" hidden="1">{#N/A,#N/A,TRUE,"Nagłówek"}</definedName>
    <definedName name="www" localSheetId="18" hidden="1">{#N/A,#N/A,TRUE,"Nagłówek"}</definedName>
    <definedName name="www" localSheetId="54" hidden="1">{#N/A,#N/A,TRUE,"Nagłówek"}</definedName>
    <definedName name="www" localSheetId="30" hidden="1">{#N/A,#N/A,TRUE,"Nagłówek"}</definedName>
    <definedName name="www" localSheetId="14" hidden="1">{#N/A,#N/A,TRUE,"Nagłówek"}</definedName>
    <definedName name="www" localSheetId="37" hidden="1">{#N/A,#N/A,TRUE,"Nagłówek"}</definedName>
    <definedName name="www" localSheetId="38" hidden="1">{#N/A,#N/A,TRUE,"Nagłówek"}</definedName>
    <definedName name="www" localSheetId="39" hidden="1">{#N/A,#N/A,TRUE,"Nagłówek"}</definedName>
    <definedName name="www" localSheetId="19" hidden="1">{#N/A,#N/A,TRUE,"Nagłówek"}</definedName>
    <definedName name="www" localSheetId="9" hidden="1">{#N/A,#N/A,TRUE,"Nagłówek"}</definedName>
    <definedName name="www" localSheetId="34" hidden="1">{#N/A,#N/A,TRUE,"Nagłówek"}</definedName>
    <definedName name="www" hidden="1">{#N/A,#N/A,TRUE,"Nagłówek"}</definedName>
    <definedName name="wykonanie" localSheetId="15" hidden="1">{#N/A,#N/A,TRUE,"Nagłówek"}</definedName>
    <definedName name="wykonanie" localSheetId="40" hidden="1">{#N/A,#N/A,TRUE,"Nagłówek"}</definedName>
    <definedName name="wykonanie" localSheetId="41" hidden="1">{#N/A,#N/A,TRUE,"Nagłówek"}</definedName>
    <definedName name="wykonanie" localSheetId="42" hidden="1">{#N/A,#N/A,TRUE,"Nagłówek"}</definedName>
    <definedName name="wykonanie" localSheetId="43" hidden="1">{#N/A,#N/A,TRUE,"Nagłówek"}</definedName>
    <definedName name="wykonanie" localSheetId="16" hidden="1">{#N/A,#N/A,TRUE,"Nagłówek"}</definedName>
    <definedName name="wykonanie" localSheetId="44" hidden="1">{#N/A,#N/A,TRUE,"Nagłówek"}</definedName>
    <definedName name="wykonanie" localSheetId="45" hidden="1">{#N/A,#N/A,TRUE,"Nagłówek"}</definedName>
    <definedName name="wykonanie" localSheetId="46" hidden="1">{#N/A,#N/A,TRUE,"Nagłówek"}</definedName>
    <definedName name="wykonanie" localSheetId="47" hidden="1">{#N/A,#N/A,TRUE,"Nagłówek"}</definedName>
    <definedName name="wykonanie" localSheetId="48" hidden="1">{#N/A,#N/A,TRUE,"Nagłówek"}</definedName>
    <definedName name="wykonanie" localSheetId="49" hidden="1">{#N/A,#N/A,TRUE,"Nagłówek"}</definedName>
    <definedName name="wykonanie" localSheetId="50" hidden="1">{#N/A,#N/A,TRUE,"Nagłówek"}</definedName>
    <definedName name="wykonanie" localSheetId="51" hidden="1">{#N/A,#N/A,TRUE,"Nagłówek"}</definedName>
    <definedName name="wykonanie" localSheetId="52" hidden="1">{#N/A,#N/A,TRUE,"Nagłówek"}</definedName>
    <definedName name="wykonanie" localSheetId="12" hidden="1">{#N/A,#N/A,TRUE,"Nagłówek"}</definedName>
    <definedName name="wykonanie" localSheetId="13" hidden="1">{#N/A,#N/A,TRUE,"Nagłówek"}</definedName>
    <definedName name="wykonanie" localSheetId="33" hidden="1">{#N/A,#N/A,TRUE,"Nagłówek"}</definedName>
    <definedName name="wykonanie" localSheetId="10" hidden="1">{#N/A,#N/A,TRUE,"Nagłówek"}</definedName>
    <definedName name="wykonanie" localSheetId="29" hidden="1">{#N/A,#N/A,TRUE,"Nagłówek"}</definedName>
    <definedName name="wykonanie" localSheetId="32" hidden="1">{#N/A,#N/A,TRUE,"Nagłówek"}</definedName>
    <definedName name="wykonanie" localSheetId="11" hidden="1">{#N/A,#N/A,TRUE,"Nagłówek"}</definedName>
    <definedName name="wykonanie" localSheetId="36" hidden="1">{#N/A,#N/A,TRUE,"Nagłówek"}</definedName>
    <definedName name="wykonanie" localSheetId="35" hidden="1">{#N/A,#N/A,TRUE,"Nagłówek"}</definedName>
    <definedName name="wykonanie" localSheetId="7" hidden="1">{#N/A,#N/A,TRUE,"Nagłówek"}</definedName>
    <definedName name="wykonanie" localSheetId="25" hidden="1">{#N/A,#N/A,TRUE,"Nagłówek"}</definedName>
    <definedName name="wykonanie" localSheetId="26" hidden="1">{#N/A,#N/A,TRUE,"Nagłówek"}</definedName>
    <definedName name="wykonanie" localSheetId="24" hidden="1">{#N/A,#N/A,TRUE,"Nagłówek"}</definedName>
    <definedName name="wykonanie" localSheetId="31" hidden="1">{#N/A,#N/A,TRUE,"Nagłówek"}</definedName>
    <definedName name="wykonanie" localSheetId="18" hidden="1">{#N/A,#N/A,TRUE,"Nagłówek"}</definedName>
    <definedName name="wykonanie" localSheetId="54" hidden="1">{#N/A,#N/A,TRUE,"Nagłówek"}</definedName>
    <definedName name="wykonanie" localSheetId="30" hidden="1">{#N/A,#N/A,TRUE,"Nagłówek"}</definedName>
    <definedName name="wykonanie" localSheetId="14" hidden="1">{#N/A,#N/A,TRUE,"Nagłówek"}</definedName>
    <definedName name="wykonanie" localSheetId="37" hidden="1">{#N/A,#N/A,TRUE,"Nagłówek"}</definedName>
    <definedName name="wykonanie" localSheetId="38" hidden="1">{#N/A,#N/A,TRUE,"Nagłówek"}</definedName>
    <definedName name="wykonanie" localSheetId="39" hidden="1">{#N/A,#N/A,TRUE,"Nagłówek"}</definedName>
    <definedName name="wykonanie" localSheetId="19" hidden="1">{#N/A,#N/A,TRUE,"Nagłówek"}</definedName>
    <definedName name="wykonanie" localSheetId="9" hidden="1">{#N/A,#N/A,TRUE,"Nagłówek"}</definedName>
    <definedName name="wykonanie" localSheetId="34" hidden="1">{#N/A,#N/A,TRUE,"Nagłówek"}</definedName>
    <definedName name="wykonanie" hidden="1">{#N/A,#N/A,TRUE,"Nagłówek"}</definedName>
    <definedName name="x" localSheetId="15" hidden="1">{#N/A,#N/A,TRUE,"Nagłówek"}</definedName>
    <definedName name="x" localSheetId="40" hidden="1">{#N/A,#N/A,TRUE,"Nagłówek"}</definedName>
    <definedName name="x" localSheetId="41" hidden="1">{#N/A,#N/A,TRUE,"Nagłówek"}</definedName>
    <definedName name="x" localSheetId="42" hidden="1">{#N/A,#N/A,TRUE,"Nagłówek"}</definedName>
    <definedName name="x" localSheetId="43" hidden="1">{#N/A,#N/A,TRUE,"Nagłówek"}</definedName>
    <definedName name="x" localSheetId="16" hidden="1">{#N/A,#N/A,TRUE,"Nagłówek"}</definedName>
    <definedName name="x" localSheetId="44" hidden="1">{#N/A,#N/A,TRUE,"Nagłówek"}</definedName>
    <definedName name="x" localSheetId="45" hidden="1">{#N/A,#N/A,TRUE,"Nagłówek"}</definedName>
    <definedName name="x" localSheetId="46" hidden="1">{#N/A,#N/A,TRUE,"Nagłówek"}</definedName>
    <definedName name="x" localSheetId="47" hidden="1">{#N/A,#N/A,TRUE,"Nagłówek"}</definedName>
    <definedName name="x" localSheetId="48" hidden="1">{#N/A,#N/A,TRUE,"Nagłówek"}</definedName>
    <definedName name="x" localSheetId="49" hidden="1">{#N/A,#N/A,TRUE,"Nagłówek"}</definedName>
    <definedName name="x" localSheetId="50" hidden="1">{#N/A,#N/A,TRUE,"Nagłówek"}</definedName>
    <definedName name="x" localSheetId="51" hidden="1">{#N/A,#N/A,TRUE,"Nagłówek"}</definedName>
    <definedName name="x" localSheetId="52" hidden="1">{#N/A,#N/A,TRUE,"Nagłówek"}</definedName>
    <definedName name="x" localSheetId="12" hidden="1">{#N/A,#N/A,TRUE,"Nagłówek"}</definedName>
    <definedName name="x" localSheetId="13" hidden="1">{#N/A,#N/A,TRUE,"Nagłówek"}</definedName>
    <definedName name="x" localSheetId="33" hidden="1">{#N/A,#N/A,TRUE,"Nagłówek"}</definedName>
    <definedName name="x" localSheetId="10" hidden="1">{#N/A,#N/A,TRUE,"Nagłówek"}</definedName>
    <definedName name="x" localSheetId="29" hidden="1">{#N/A,#N/A,TRUE,"Nagłówek"}</definedName>
    <definedName name="x" localSheetId="32" hidden="1">{#N/A,#N/A,TRUE,"Nagłówek"}</definedName>
    <definedName name="x" localSheetId="11" hidden="1">{#N/A,#N/A,TRUE,"Nagłówek"}</definedName>
    <definedName name="x" localSheetId="36" hidden="1">{#N/A,#N/A,TRUE,"Nagłówek"}</definedName>
    <definedName name="x" localSheetId="35" hidden="1">{#N/A,#N/A,TRUE,"Nagłówek"}</definedName>
    <definedName name="x" localSheetId="7" hidden="1">{#N/A,#N/A,TRUE,"Nagłówek"}</definedName>
    <definedName name="x" localSheetId="25" hidden="1">{#N/A,#N/A,TRUE,"Nagłówek"}</definedName>
    <definedName name="x" localSheetId="26" hidden="1">{#N/A,#N/A,TRUE,"Nagłówek"}</definedName>
    <definedName name="x" localSheetId="24" hidden="1">{#N/A,#N/A,TRUE,"Nagłówek"}</definedName>
    <definedName name="x" localSheetId="31" hidden="1">{#N/A,#N/A,TRUE,"Nagłówek"}</definedName>
    <definedName name="x" localSheetId="18" hidden="1">{#N/A,#N/A,TRUE,"Nagłówek"}</definedName>
    <definedName name="x" localSheetId="54" hidden="1">{#N/A,#N/A,TRUE,"Nagłówek"}</definedName>
    <definedName name="x" localSheetId="30" hidden="1">{#N/A,#N/A,TRUE,"Nagłówek"}</definedName>
    <definedName name="x" localSheetId="14" hidden="1">{#N/A,#N/A,TRUE,"Nagłówek"}</definedName>
    <definedName name="x" localSheetId="37" hidden="1">{#N/A,#N/A,TRUE,"Nagłówek"}</definedName>
    <definedName name="x" localSheetId="38" hidden="1">{#N/A,#N/A,TRUE,"Nagłówek"}</definedName>
    <definedName name="x" localSheetId="39" hidden="1">{#N/A,#N/A,TRUE,"Nagłówek"}</definedName>
    <definedName name="x" localSheetId="19" hidden="1">{#N/A,#N/A,TRUE,"Nagłówek"}</definedName>
    <definedName name="x" localSheetId="9" hidden="1">{#N/A,#N/A,TRUE,"Nagłówek"}</definedName>
    <definedName name="x" localSheetId="34" hidden="1">{#N/A,#N/A,TRUE,"Nagłówek"}</definedName>
    <definedName name="x" hidden="1">{#N/A,#N/A,TRUE,"Nagłówek"}</definedName>
    <definedName name="xxx">[6]ster!$B$4</definedName>
    <definedName name="Z_21391692_C453_11D5_A403_0050DAD698BA_.wvu.Cols" localSheetId="15" hidden="1">#REF!</definedName>
    <definedName name="Z_21391692_C453_11D5_A403_0050DAD698BA_.wvu.Cols" localSheetId="41" hidden="1">#REF!</definedName>
    <definedName name="Z_21391692_C453_11D5_A403_0050DAD698BA_.wvu.Cols" localSheetId="42" hidden="1">#REF!</definedName>
    <definedName name="Z_21391692_C453_11D5_A403_0050DAD698BA_.wvu.Cols" localSheetId="43" hidden="1">#REF!</definedName>
    <definedName name="Z_21391692_C453_11D5_A403_0050DAD698BA_.wvu.Cols" localSheetId="16" hidden="1">#REF!</definedName>
    <definedName name="Z_21391692_C453_11D5_A403_0050DAD698BA_.wvu.Cols" localSheetId="45" hidden="1">#REF!</definedName>
    <definedName name="Z_21391692_C453_11D5_A403_0050DAD698BA_.wvu.Cols" localSheetId="46" hidden="1">#REF!</definedName>
    <definedName name="Z_21391692_C453_11D5_A403_0050DAD698BA_.wvu.Cols" localSheetId="47" hidden="1">#REF!</definedName>
    <definedName name="Z_21391692_C453_11D5_A403_0050DAD698BA_.wvu.Cols" localSheetId="48" hidden="1">#REF!</definedName>
    <definedName name="Z_21391692_C453_11D5_A403_0050DAD698BA_.wvu.Cols" localSheetId="49" hidden="1">#REF!</definedName>
    <definedName name="Z_21391692_C453_11D5_A403_0050DAD698BA_.wvu.Cols" localSheetId="50" hidden="1">#REF!</definedName>
    <definedName name="Z_21391692_C453_11D5_A403_0050DAD698BA_.wvu.Cols" localSheetId="51" hidden="1">#REF!</definedName>
    <definedName name="Z_21391692_C453_11D5_A403_0050DAD698BA_.wvu.Cols" localSheetId="52" hidden="1">#REF!</definedName>
    <definedName name="Z_21391692_C453_11D5_A403_0050DAD698BA_.wvu.Cols" localSheetId="10" hidden="1">#REF!</definedName>
    <definedName name="Z_21391692_C453_11D5_A403_0050DAD698BA_.wvu.Cols" localSheetId="27" hidden="1">#REF!</definedName>
    <definedName name="Z_21391692_C453_11D5_A403_0050DAD698BA_.wvu.Cols" localSheetId="28" hidden="1">#REF!</definedName>
    <definedName name="Z_21391692_C453_11D5_A403_0050DAD698BA_.wvu.Cols" localSheetId="8" hidden="1">#REF!</definedName>
    <definedName name="Z_21391692_C453_11D5_A403_0050DAD698BA_.wvu.Cols" localSheetId="32" hidden="1">#REF!</definedName>
    <definedName name="Z_21391692_C453_11D5_A403_0050DAD698BA_.wvu.Cols" localSheetId="11" hidden="1">#REF!</definedName>
    <definedName name="Z_21391692_C453_11D5_A403_0050DAD698BA_.wvu.Cols" localSheetId="35" hidden="1">#REF!</definedName>
    <definedName name="Z_21391692_C453_11D5_A403_0050DAD698BA_.wvu.Cols" localSheetId="7" hidden="1">#REF!</definedName>
    <definedName name="Z_21391692_C453_11D5_A403_0050DAD698BA_.wvu.Cols" localSheetId="25" hidden="1">#REF!</definedName>
    <definedName name="Z_21391692_C453_11D5_A403_0050DAD698BA_.wvu.Cols" localSheetId="26" hidden="1">#REF!</definedName>
    <definedName name="Z_21391692_C453_11D5_A403_0050DAD698BA_.wvu.Cols" localSheetId="23" hidden="1">#REF!</definedName>
    <definedName name="Z_21391692_C453_11D5_A403_0050DAD698BA_.wvu.Cols" localSheetId="22" hidden="1">#REF!</definedName>
    <definedName name="Z_21391692_C453_11D5_A403_0050DAD698BA_.wvu.Cols" localSheetId="31" hidden="1">#REF!</definedName>
    <definedName name="Z_21391692_C453_11D5_A403_0050DAD698BA_.wvu.Cols" localSheetId="18" hidden="1">#REF!</definedName>
    <definedName name="Z_21391692_C453_11D5_A403_0050DAD698BA_.wvu.Cols" localSheetId="54" hidden="1">#REF!</definedName>
    <definedName name="Z_21391692_C453_11D5_A403_0050DAD698BA_.wvu.Cols" localSheetId="30" hidden="1">#REF!</definedName>
    <definedName name="Z_21391692_C453_11D5_A403_0050DAD698BA_.wvu.Cols" localSheetId="14" hidden="1">#REF!</definedName>
    <definedName name="Z_21391692_C453_11D5_A403_0050DAD698BA_.wvu.Cols" localSheetId="38" hidden="1">#REF!</definedName>
    <definedName name="Z_21391692_C453_11D5_A403_0050DAD698BA_.wvu.Cols" localSheetId="39" hidden="1">#REF!</definedName>
    <definedName name="Z_21391692_C453_11D5_A403_0050DAD698BA_.wvu.Cols" localSheetId="2" hidden="1">#REF!</definedName>
    <definedName name="Z_21391692_C453_11D5_A403_0050DAD698BA_.wvu.Cols" localSheetId="58" hidden="1">#REF!</definedName>
    <definedName name="Z_21391692_C453_11D5_A403_0050DAD698BA_.wvu.Cols" localSheetId="56" hidden="1">#REF!</definedName>
    <definedName name="Z_21391692_C453_11D5_A403_0050DAD698BA_.wvu.Cols" localSheetId="19" hidden="1">#REF!</definedName>
    <definedName name="Z_21391692_C453_11D5_A403_0050DAD698BA_.wvu.Cols" localSheetId="9" hidden="1">#REF!</definedName>
    <definedName name="Z_21391692_C453_11D5_A403_0050DAD698BA_.wvu.Cols" localSheetId="6" hidden="1">#REF!</definedName>
    <definedName name="Z_21391692_C453_11D5_A403_0050DAD698BA_.wvu.Cols" localSheetId="17" hidden="1">#REF!</definedName>
    <definedName name="Z_21391692_C453_11D5_A403_0050DAD698BA_.wvu.Cols" hidden="1">#REF!</definedName>
    <definedName name="Z_21391692_C453_11D5_A403_0050DAD698BA_.wvu.FilterData" localSheetId="15" hidden="1">#REF!</definedName>
    <definedName name="Z_21391692_C453_11D5_A403_0050DAD698BA_.wvu.FilterData" localSheetId="41" hidden="1">#REF!</definedName>
    <definedName name="Z_21391692_C453_11D5_A403_0050DAD698BA_.wvu.FilterData" localSheetId="42" hidden="1">#REF!</definedName>
    <definedName name="Z_21391692_C453_11D5_A403_0050DAD698BA_.wvu.FilterData" localSheetId="43" hidden="1">#REF!</definedName>
    <definedName name="Z_21391692_C453_11D5_A403_0050DAD698BA_.wvu.FilterData" localSheetId="16" hidden="1">#REF!</definedName>
    <definedName name="Z_21391692_C453_11D5_A403_0050DAD698BA_.wvu.FilterData" localSheetId="45" hidden="1">#REF!</definedName>
    <definedName name="Z_21391692_C453_11D5_A403_0050DAD698BA_.wvu.FilterData" localSheetId="46" hidden="1">#REF!</definedName>
    <definedName name="Z_21391692_C453_11D5_A403_0050DAD698BA_.wvu.FilterData" localSheetId="47" hidden="1">#REF!</definedName>
    <definedName name="Z_21391692_C453_11D5_A403_0050DAD698BA_.wvu.FilterData" localSheetId="48" hidden="1">#REF!</definedName>
    <definedName name="Z_21391692_C453_11D5_A403_0050DAD698BA_.wvu.FilterData" localSheetId="49" hidden="1">#REF!</definedName>
    <definedName name="Z_21391692_C453_11D5_A403_0050DAD698BA_.wvu.FilterData" localSheetId="50" hidden="1">#REF!</definedName>
    <definedName name="Z_21391692_C453_11D5_A403_0050DAD698BA_.wvu.FilterData" localSheetId="51" hidden="1">#REF!</definedName>
    <definedName name="Z_21391692_C453_11D5_A403_0050DAD698BA_.wvu.FilterData" localSheetId="52" hidden="1">#REF!</definedName>
    <definedName name="Z_21391692_C453_11D5_A403_0050DAD698BA_.wvu.FilterData" localSheetId="10" hidden="1">#REF!</definedName>
    <definedName name="Z_21391692_C453_11D5_A403_0050DAD698BA_.wvu.FilterData" localSheetId="27" hidden="1">#REF!</definedName>
    <definedName name="Z_21391692_C453_11D5_A403_0050DAD698BA_.wvu.FilterData" localSheetId="28" hidden="1">#REF!</definedName>
    <definedName name="Z_21391692_C453_11D5_A403_0050DAD698BA_.wvu.FilterData" localSheetId="8" hidden="1">#REF!</definedName>
    <definedName name="Z_21391692_C453_11D5_A403_0050DAD698BA_.wvu.FilterData" localSheetId="32" hidden="1">#REF!</definedName>
    <definedName name="Z_21391692_C453_11D5_A403_0050DAD698BA_.wvu.FilterData" localSheetId="11" hidden="1">#REF!</definedName>
    <definedName name="Z_21391692_C453_11D5_A403_0050DAD698BA_.wvu.FilterData" localSheetId="35" hidden="1">#REF!</definedName>
    <definedName name="Z_21391692_C453_11D5_A403_0050DAD698BA_.wvu.FilterData" localSheetId="7" hidden="1">#REF!</definedName>
    <definedName name="Z_21391692_C453_11D5_A403_0050DAD698BA_.wvu.FilterData" localSheetId="25" hidden="1">#REF!</definedName>
    <definedName name="Z_21391692_C453_11D5_A403_0050DAD698BA_.wvu.FilterData" localSheetId="26" hidden="1">#REF!</definedName>
    <definedName name="Z_21391692_C453_11D5_A403_0050DAD698BA_.wvu.FilterData" localSheetId="23" hidden="1">#REF!</definedName>
    <definedName name="Z_21391692_C453_11D5_A403_0050DAD698BA_.wvu.FilterData" localSheetId="22" hidden="1">#REF!</definedName>
    <definedName name="Z_21391692_C453_11D5_A403_0050DAD698BA_.wvu.FilterData" localSheetId="31" hidden="1">#REF!</definedName>
    <definedName name="Z_21391692_C453_11D5_A403_0050DAD698BA_.wvu.FilterData" localSheetId="18" hidden="1">#REF!</definedName>
    <definedName name="Z_21391692_C453_11D5_A403_0050DAD698BA_.wvu.FilterData" localSheetId="54" hidden="1">#REF!</definedName>
    <definedName name="Z_21391692_C453_11D5_A403_0050DAD698BA_.wvu.FilterData" localSheetId="30" hidden="1">#REF!</definedName>
    <definedName name="Z_21391692_C453_11D5_A403_0050DAD698BA_.wvu.FilterData" localSheetId="14" hidden="1">#REF!</definedName>
    <definedName name="Z_21391692_C453_11D5_A403_0050DAD698BA_.wvu.FilterData" localSheetId="38" hidden="1">#REF!</definedName>
    <definedName name="Z_21391692_C453_11D5_A403_0050DAD698BA_.wvu.FilterData" localSheetId="39" hidden="1">#REF!</definedName>
    <definedName name="Z_21391692_C453_11D5_A403_0050DAD698BA_.wvu.FilterData" localSheetId="2" hidden="1">#REF!</definedName>
    <definedName name="Z_21391692_C453_11D5_A403_0050DAD698BA_.wvu.FilterData" localSheetId="58" hidden="1">#REF!</definedName>
    <definedName name="Z_21391692_C453_11D5_A403_0050DAD698BA_.wvu.FilterData" localSheetId="56" hidden="1">#REF!</definedName>
    <definedName name="Z_21391692_C453_11D5_A403_0050DAD698BA_.wvu.FilterData" localSheetId="19" hidden="1">#REF!</definedName>
    <definedName name="Z_21391692_C453_11D5_A403_0050DAD698BA_.wvu.FilterData" localSheetId="9" hidden="1">#REF!</definedName>
    <definedName name="Z_21391692_C453_11D5_A403_0050DAD698BA_.wvu.FilterData" localSheetId="6" hidden="1">#REF!</definedName>
    <definedName name="Z_21391692_C453_11D5_A403_0050DAD698BA_.wvu.FilterData" localSheetId="17" hidden="1">#REF!</definedName>
    <definedName name="Z_21391692_C453_11D5_A403_0050DAD698BA_.wvu.FilterData" hidden="1">#REF!</definedName>
    <definedName name="Z_21391692_C453_11D5_A403_0050DAD698BA_.wvu.PrintArea" localSheetId="15" hidden="1">#REF!</definedName>
    <definedName name="Z_21391692_C453_11D5_A403_0050DAD698BA_.wvu.PrintArea" localSheetId="41" hidden="1">#REF!</definedName>
    <definedName name="Z_21391692_C453_11D5_A403_0050DAD698BA_.wvu.PrintArea" localSheetId="42" hidden="1">#REF!</definedName>
    <definedName name="Z_21391692_C453_11D5_A403_0050DAD698BA_.wvu.PrintArea" localSheetId="43" hidden="1">#REF!</definedName>
    <definedName name="Z_21391692_C453_11D5_A403_0050DAD698BA_.wvu.PrintArea" localSheetId="16" hidden="1">#REF!</definedName>
    <definedName name="Z_21391692_C453_11D5_A403_0050DAD698BA_.wvu.PrintArea" localSheetId="45" hidden="1">#REF!</definedName>
    <definedName name="Z_21391692_C453_11D5_A403_0050DAD698BA_.wvu.PrintArea" localSheetId="46" hidden="1">#REF!</definedName>
    <definedName name="Z_21391692_C453_11D5_A403_0050DAD698BA_.wvu.PrintArea" localSheetId="47" hidden="1">#REF!</definedName>
    <definedName name="Z_21391692_C453_11D5_A403_0050DAD698BA_.wvu.PrintArea" localSheetId="48" hidden="1">#REF!</definedName>
    <definedName name="Z_21391692_C453_11D5_A403_0050DAD698BA_.wvu.PrintArea" localSheetId="49" hidden="1">#REF!</definedName>
    <definedName name="Z_21391692_C453_11D5_A403_0050DAD698BA_.wvu.PrintArea" localSheetId="50" hidden="1">#REF!</definedName>
    <definedName name="Z_21391692_C453_11D5_A403_0050DAD698BA_.wvu.PrintArea" localSheetId="51" hidden="1">#REF!</definedName>
    <definedName name="Z_21391692_C453_11D5_A403_0050DAD698BA_.wvu.PrintArea" localSheetId="52" hidden="1">#REF!</definedName>
    <definedName name="Z_21391692_C453_11D5_A403_0050DAD698BA_.wvu.PrintArea" localSheetId="10" hidden="1">#REF!</definedName>
    <definedName name="Z_21391692_C453_11D5_A403_0050DAD698BA_.wvu.PrintArea" localSheetId="27" hidden="1">#REF!</definedName>
    <definedName name="Z_21391692_C453_11D5_A403_0050DAD698BA_.wvu.PrintArea" localSheetId="28" hidden="1">#REF!</definedName>
    <definedName name="Z_21391692_C453_11D5_A403_0050DAD698BA_.wvu.PrintArea" localSheetId="8" hidden="1">#REF!</definedName>
    <definedName name="Z_21391692_C453_11D5_A403_0050DAD698BA_.wvu.PrintArea" localSheetId="32" hidden="1">#REF!</definedName>
    <definedName name="Z_21391692_C453_11D5_A403_0050DAD698BA_.wvu.PrintArea" localSheetId="11" hidden="1">#REF!</definedName>
    <definedName name="Z_21391692_C453_11D5_A403_0050DAD698BA_.wvu.PrintArea" localSheetId="35" hidden="1">#REF!</definedName>
    <definedName name="Z_21391692_C453_11D5_A403_0050DAD698BA_.wvu.PrintArea" localSheetId="7" hidden="1">#REF!</definedName>
    <definedName name="Z_21391692_C453_11D5_A403_0050DAD698BA_.wvu.PrintArea" localSheetId="25" hidden="1">#REF!</definedName>
    <definedName name="Z_21391692_C453_11D5_A403_0050DAD698BA_.wvu.PrintArea" localSheetId="26" hidden="1">#REF!</definedName>
    <definedName name="Z_21391692_C453_11D5_A403_0050DAD698BA_.wvu.PrintArea" localSheetId="23" hidden="1">#REF!</definedName>
    <definedName name="Z_21391692_C453_11D5_A403_0050DAD698BA_.wvu.PrintArea" localSheetId="22" hidden="1">#REF!</definedName>
    <definedName name="Z_21391692_C453_11D5_A403_0050DAD698BA_.wvu.PrintArea" localSheetId="31" hidden="1">#REF!</definedName>
    <definedName name="Z_21391692_C453_11D5_A403_0050DAD698BA_.wvu.PrintArea" localSheetId="18" hidden="1">#REF!</definedName>
    <definedName name="Z_21391692_C453_11D5_A403_0050DAD698BA_.wvu.PrintArea" localSheetId="54" hidden="1">#REF!</definedName>
    <definedName name="Z_21391692_C453_11D5_A403_0050DAD698BA_.wvu.PrintArea" localSheetId="30" hidden="1">#REF!</definedName>
    <definedName name="Z_21391692_C453_11D5_A403_0050DAD698BA_.wvu.PrintArea" localSheetId="14" hidden="1">#REF!</definedName>
    <definedName name="Z_21391692_C453_11D5_A403_0050DAD698BA_.wvu.PrintArea" localSheetId="38" hidden="1">#REF!</definedName>
    <definedName name="Z_21391692_C453_11D5_A403_0050DAD698BA_.wvu.PrintArea" localSheetId="39" hidden="1">#REF!</definedName>
    <definedName name="Z_21391692_C453_11D5_A403_0050DAD698BA_.wvu.PrintArea" localSheetId="2" hidden="1">#REF!</definedName>
    <definedName name="Z_21391692_C453_11D5_A403_0050DAD698BA_.wvu.PrintArea" localSheetId="58" hidden="1">#REF!</definedName>
    <definedName name="Z_21391692_C453_11D5_A403_0050DAD698BA_.wvu.PrintArea" localSheetId="56" hidden="1">#REF!</definedName>
    <definedName name="Z_21391692_C453_11D5_A403_0050DAD698BA_.wvu.PrintArea" localSheetId="19" hidden="1">#REF!</definedName>
    <definedName name="Z_21391692_C453_11D5_A403_0050DAD698BA_.wvu.PrintArea" localSheetId="9" hidden="1">#REF!</definedName>
    <definedName name="Z_21391692_C453_11D5_A403_0050DAD698BA_.wvu.PrintArea" localSheetId="6" hidden="1">#REF!</definedName>
    <definedName name="Z_21391692_C453_11D5_A403_0050DAD698BA_.wvu.PrintArea" localSheetId="17" hidden="1">#REF!</definedName>
    <definedName name="Z_21391692_C453_11D5_A403_0050DAD698BA_.wvu.PrintArea" hidden="1">#REF!</definedName>
    <definedName name="Z_21391692_C453_11D5_A403_0050DAD698BA_.wvu.PrintTitles" localSheetId="15" hidden="1">#REF!,#REF!</definedName>
    <definedName name="Z_21391692_C453_11D5_A403_0050DAD698BA_.wvu.PrintTitles" localSheetId="41" hidden="1">#REF!,#REF!</definedName>
    <definedName name="Z_21391692_C453_11D5_A403_0050DAD698BA_.wvu.PrintTitles" localSheetId="42" hidden="1">#REF!,#REF!</definedName>
    <definedName name="Z_21391692_C453_11D5_A403_0050DAD698BA_.wvu.PrintTitles" localSheetId="43" hidden="1">#REF!,#REF!</definedName>
    <definedName name="Z_21391692_C453_11D5_A403_0050DAD698BA_.wvu.PrintTitles" localSheetId="16" hidden="1">#REF!,#REF!</definedName>
    <definedName name="Z_21391692_C453_11D5_A403_0050DAD698BA_.wvu.PrintTitles" localSheetId="45" hidden="1">#REF!,#REF!</definedName>
    <definedName name="Z_21391692_C453_11D5_A403_0050DAD698BA_.wvu.PrintTitles" localSheetId="46" hidden="1">#REF!,#REF!</definedName>
    <definedName name="Z_21391692_C453_11D5_A403_0050DAD698BA_.wvu.PrintTitles" localSheetId="47" hidden="1">#REF!,#REF!</definedName>
    <definedName name="Z_21391692_C453_11D5_A403_0050DAD698BA_.wvu.PrintTitles" localSheetId="48" hidden="1">#REF!,#REF!</definedName>
    <definedName name="Z_21391692_C453_11D5_A403_0050DAD698BA_.wvu.PrintTitles" localSheetId="49" hidden="1">#REF!,#REF!</definedName>
    <definedName name="Z_21391692_C453_11D5_A403_0050DAD698BA_.wvu.PrintTitles" localSheetId="50" hidden="1">#REF!,#REF!</definedName>
    <definedName name="Z_21391692_C453_11D5_A403_0050DAD698BA_.wvu.PrintTitles" localSheetId="51" hidden="1">#REF!,#REF!</definedName>
    <definedName name="Z_21391692_C453_11D5_A403_0050DAD698BA_.wvu.PrintTitles" localSheetId="52" hidden="1">#REF!,#REF!</definedName>
    <definedName name="Z_21391692_C453_11D5_A403_0050DAD698BA_.wvu.PrintTitles" localSheetId="10" hidden="1">#REF!,#REF!</definedName>
    <definedName name="Z_21391692_C453_11D5_A403_0050DAD698BA_.wvu.PrintTitles" localSheetId="27" hidden="1">#REF!,#REF!</definedName>
    <definedName name="Z_21391692_C453_11D5_A403_0050DAD698BA_.wvu.PrintTitles" localSheetId="28" hidden="1">#REF!,#REF!</definedName>
    <definedName name="Z_21391692_C453_11D5_A403_0050DAD698BA_.wvu.PrintTitles" localSheetId="8" hidden="1">#REF!,#REF!</definedName>
    <definedName name="Z_21391692_C453_11D5_A403_0050DAD698BA_.wvu.PrintTitles" localSheetId="32" hidden="1">#REF!,#REF!</definedName>
    <definedName name="Z_21391692_C453_11D5_A403_0050DAD698BA_.wvu.PrintTitles" localSheetId="11" hidden="1">#REF!,#REF!</definedName>
    <definedName name="Z_21391692_C453_11D5_A403_0050DAD698BA_.wvu.PrintTitles" localSheetId="35" hidden="1">#REF!,#REF!</definedName>
    <definedName name="Z_21391692_C453_11D5_A403_0050DAD698BA_.wvu.PrintTitles" localSheetId="7" hidden="1">#REF!,#REF!</definedName>
    <definedName name="Z_21391692_C453_11D5_A403_0050DAD698BA_.wvu.PrintTitles" localSheetId="25" hidden="1">#REF!,#REF!</definedName>
    <definedName name="Z_21391692_C453_11D5_A403_0050DAD698BA_.wvu.PrintTitles" localSheetId="26" hidden="1">#REF!,#REF!</definedName>
    <definedName name="Z_21391692_C453_11D5_A403_0050DAD698BA_.wvu.PrintTitles" localSheetId="23" hidden="1">#REF!,#REF!</definedName>
    <definedName name="Z_21391692_C453_11D5_A403_0050DAD698BA_.wvu.PrintTitles" localSheetId="22" hidden="1">#REF!,#REF!</definedName>
    <definedName name="Z_21391692_C453_11D5_A403_0050DAD698BA_.wvu.PrintTitles" localSheetId="31" hidden="1">#REF!,#REF!</definedName>
    <definedName name="Z_21391692_C453_11D5_A403_0050DAD698BA_.wvu.PrintTitles" localSheetId="18" hidden="1">#REF!,#REF!</definedName>
    <definedName name="Z_21391692_C453_11D5_A403_0050DAD698BA_.wvu.PrintTitles" localSheetId="54" hidden="1">#REF!,#REF!</definedName>
    <definedName name="Z_21391692_C453_11D5_A403_0050DAD698BA_.wvu.PrintTitles" localSheetId="30" hidden="1">#REF!,#REF!</definedName>
    <definedName name="Z_21391692_C453_11D5_A403_0050DAD698BA_.wvu.PrintTitles" localSheetId="14" hidden="1">#REF!,#REF!</definedName>
    <definedName name="Z_21391692_C453_11D5_A403_0050DAD698BA_.wvu.PrintTitles" localSheetId="38" hidden="1">#REF!,#REF!</definedName>
    <definedName name="Z_21391692_C453_11D5_A403_0050DAD698BA_.wvu.PrintTitles" localSheetId="39" hidden="1">#REF!,#REF!</definedName>
    <definedName name="Z_21391692_C453_11D5_A403_0050DAD698BA_.wvu.PrintTitles" localSheetId="2" hidden="1">#REF!,#REF!</definedName>
    <definedName name="Z_21391692_C453_11D5_A403_0050DAD698BA_.wvu.PrintTitles" localSheetId="58" hidden="1">#REF!,#REF!</definedName>
    <definedName name="Z_21391692_C453_11D5_A403_0050DAD698BA_.wvu.PrintTitles" localSheetId="56" hidden="1">#REF!,#REF!</definedName>
    <definedName name="Z_21391692_C453_11D5_A403_0050DAD698BA_.wvu.PrintTitles" localSheetId="19" hidden="1">#REF!,#REF!</definedName>
    <definedName name="Z_21391692_C453_11D5_A403_0050DAD698BA_.wvu.PrintTitles" localSheetId="9" hidden="1">#REF!,#REF!</definedName>
    <definedName name="Z_21391692_C453_11D5_A403_0050DAD698BA_.wvu.PrintTitles" localSheetId="6" hidden="1">#REF!,#REF!</definedName>
    <definedName name="Z_21391692_C453_11D5_A403_0050DAD698BA_.wvu.PrintTitles" localSheetId="17" hidden="1">#REF!,#REF!</definedName>
    <definedName name="Z_21391692_C453_11D5_A403_0050DAD698BA_.wvu.PrintTitles" hidden="1">#REF!,#REF!</definedName>
    <definedName name="Z_21391692_C453_11D5_A403_0050DAD698BA_.wvu.Rows" localSheetId="15" hidden="1">#REF!</definedName>
    <definedName name="Z_21391692_C453_11D5_A403_0050DAD698BA_.wvu.Rows" localSheetId="41" hidden="1">#REF!</definedName>
    <definedName name="Z_21391692_C453_11D5_A403_0050DAD698BA_.wvu.Rows" localSheetId="42" hidden="1">#REF!</definedName>
    <definedName name="Z_21391692_C453_11D5_A403_0050DAD698BA_.wvu.Rows" localSheetId="43" hidden="1">#REF!</definedName>
    <definedName name="Z_21391692_C453_11D5_A403_0050DAD698BA_.wvu.Rows" localSheetId="16" hidden="1">#REF!</definedName>
    <definedName name="Z_21391692_C453_11D5_A403_0050DAD698BA_.wvu.Rows" localSheetId="45" hidden="1">#REF!</definedName>
    <definedName name="Z_21391692_C453_11D5_A403_0050DAD698BA_.wvu.Rows" localSheetId="46" hidden="1">#REF!</definedName>
    <definedName name="Z_21391692_C453_11D5_A403_0050DAD698BA_.wvu.Rows" localSheetId="47" hidden="1">#REF!</definedName>
    <definedName name="Z_21391692_C453_11D5_A403_0050DAD698BA_.wvu.Rows" localSheetId="48" hidden="1">#REF!</definedName>
    <definedName name="Z_21391692_C453_11D5_A403_0050DAD698BA_.wvu.Rows" localSheetId="49" hidden="1">#REF!</definedName>
    <definedName name="Z_21391692_C453_11D5_A403_0050DAD698BA_.wvu.Rows" localSheetId="50" hidden="1">#REF!</definedName>
    <definedName name="Z_21391692_C453_11D5_A403_0050DAD698BA_.wvu.Rows" localSheetId="51" hidden="1">#REF!</definedName>
    <definedName name="Z_21391692_C453_11D5_A403_0050DAD698BA_.wvu.Rows" localSheetId="52" hidden="1">#REF!</definedName>
    <definedName name="Z_21391692_C453_11D5_A403_0050DAD698BA_.wvu.Rows" localSheetId="10" hidden="1">#REF!</definedName>
    <definedName name="Z_21391692_C453_11D5_A403_0050DAD698BA_.wvu.Rows" localSheetId="27" hidden="1">#REF!</definedName>
    <definedName name="Z_21391692_C453_11D5_A403_0050DAD698BA_.wvu.Rows" localSheetId="28" hidden="1">#REF!</definedName>
    <definedName name="Z_21391692_C453_11D5_A403_0050DAD698BA_.wvu.Rows" localSheetId="8" hidden="1">#REF!</definedName>
    <definedName name="Z_21391692_C453_11D5_A403_0050DAD698BA_.wvu.Rows" localSheetId="32" hidden="1">#REF!</definedName>
    <definedName name="Z_21391692_C453_11D5_A403_0050DAD698BA_.wvu.Rows" localSheetId="11" hidden="1">#REF!</definedName>
    <definedName name="Z_21391692_C453_11D5_A403_0050DAD698BA_.wvu.Rows" localSheetId="35" hidden="1">#REF!</definedName>
    <definedName name="Z_21391692_C453_11D5_A403_0050DAD698BA_.wvu.Rows" localSheetId="7" hidden="1">#REF!</definedName>
    <definedName name="Z_21391692_C453_11D5_A403_0050DAD698BA_.wvu.Rows" localSheetId="25" hidden="1">#REF!</definedName>
    <definedName name="Z_21391692_C453_11D5_A403_0050DAD698BA_.wvu.Rows" localSheetId="26" hidden="1">#REF!</definedName>
    <definedName name="Z_21391692_C453_11D5_A403_0050DAD698BA_.wvu.Rows" localSheetId="23" hidden="1">#REF!</definedName>
    <definedName name="Z_21391692_C453_11D5_A403_0050DAD698BA_.wvu.Rows" localSheetId="22" hidden="1">#REF!</definedName>
    <definedName name="Z_21391692_C453_11D5_A403_0050DAD698BA_.wvu.Rows" localSheetId="31" hidden="1">#REF!</definedName>
    <definedName name="Z_21391692_C453_11D5_A403_0050DAD698BA_.wvu.Rows" localSheetId="18" hidden="1">#REF!</definedName>
    <definedName name="Z_21391692_C453_11D5_A403_0050DAD698BA_.wvu.Rows" localSheetId="54" hidden="1">#REF!</definedName>
    <definedName name="Z_21391692_C453_11D5_A403_0050DAD698BA_.wvu.Rows" localSheetId="30" hidden="1">#REF!</definedName>
    <definedName name="Z_21391692_C453_11D5_A403_0050DAD698BA_.wvu.Rows" localSheetId="14" hidden="1">#REF!</definedName>
    <definedName name="Z_21391692_C453_11D5_A403_0050DAD698BA_.wvu.Rows" localSheetId="38" hidden="1">#REF!</definedName>
    <definedName name="Z_21391692_C453_11D5_A403_0050DAD698BA_.wvu.Rows" localSheetId="39" hidden="1">#REF!</definedName>
    <definedName name="Z_21391692_C453_11D5_A403_0050DAD698BA_.wvu.Rows" localSheetId="2" hidden="1">#REF!</definedName>
    <definedName name="Z_21391692_C453_11D5_A403_0050DAD698BA_.wvu.Rows" localSheetId="58" hidden="1">#REF!</definedName>
    <definedName name="Z_21391692_C453_11D5_A403_0050DAD698BA_.wvu.Rows" localSheetId="56" hidden="1">#REF!</definedName>
    <definedName name="Z_21391692_C453_11D5_A403_0050DAD698BA_.wvu.Rows" localSheetId="19" hidden="1">#REF!</definedName>
    <definedName name="Z_21391692_C453_11D5_A403_0050DAD698BA_.wvu.Rows" localSheetId="9" hidden="1">#REF!</definedName>
    <definedName name="Z_21391692_C453_11D5_A403_0050DAD698BA_.wvu.Rows" localSheetId="6" hidden="1">#REF!</definedName>
    <definedName name="Z_21391692_C453_11D5_A403_0050DAD698BA_.wvu.Rows" localSheetId="17" hidden="1">#REF!</definedName>
    <definedName name="Z_21391692_C453_11D5_A403_0050DAD698BA_.wvu.Rows" hidden="1">#REF!</definedName>
    <definedName name="Z_537B17C1_E5A8_11D6_AE89_000102B17012_.wvu.PrintTitles" localSheetId="15" hidden="1">#REF!</definedName>
    <definedName name="Z_537B17C1_E5A8_11D6_AE89_000102B17012_.wvu.PrintTitles" localSheetId="41" hidden="1">#REF!</definedName>
    <definedName name="Z_537B17C1_E5A8_11D6_AE89_000102B17012_.wvu.PrintTitles" localSheetId="42" hidden="1">#REF!</definedName>
    <definedName name="Z_537B17C1_E5A8_11D6_AE89_000102B17012_.wvu.PrintTitles" localSheetId="43" hidden="1">#REF!</definedName>
    <definedName name="Z_537B17C1_E5A8_11D6_AE89_000102B17012_.wvu.PrintTitles" localSheetId="16" hidden="1">#REF!</definedName>
    <definedName name="Z_537B17C1_E5A8_11D6_AE89_000102B17012_.wvu.PrintTitles" localSheetId="45" hidden="1">#REF!</definedName>
    <definedName name="Z_537B17C1_E5A8_11D6_AE89_000102B17012_.wvu.PrintTitles" localSheetId="46" hidden="1">#REF!</definedName>
    <definedName name="Z_537B17C1_E5A8_11D6_AE89_000102B17012_.wvu.PrintTitles" localSheetId="47" hidden="1">#REF!</definedName>
    <definedName name="Z_537B17C1_E5A8_11D6_AE89_000102B17012_.wvu.PrintTitles" localSheetId="48" hidden="1">#REF!</definedName>
    <definedName name="Z_537B17C1_E5A8_11D6_AE89_000102B17012_.wvu.PrintTitles" localSheetId="49" hidden="1">#REF!</definedName>
    <definedName name="Z_537B17C1_E5A8_11D6_AE89_000102B17012_.wvu.PrintTitles" localSheetId="50" hidden="1">#REF!</definedName>
    <definedName name="Z_537B17C1_E5A8_11D6_AE89_000102B17012_.wvu.PrintTitles" localSheetId="51" hidden="1">#REF!</definedName>
    <definedName name="Z_537B17C1_E5A8_11D6_AE89_000102B17012_.wvu.PrintTitles" localSheetId="52" hidden="1">#REF!</definedName>
    <definedName name="Z_537B17C1_E5A8_11D6_AE89_000102B17012_.wvu.PrintTitles" localSheetId="10" hidden="1">#REF!</definedName>
    <definedName name="Z_537B17C1_E5A8_11D6_AE89_000102B17012_.wvu.PrintTitles" localSheetId="27" hidden="1">#REF!</definedName>
    <definedName name="Z_537B17C1_E5A8_11D6_AE89_000102B17012_.wvu.PrintTitles" localSheetId="28" hidden="1">#REF!</definedName>
    <definedName name="Z_537B17C1_E5A8_11D6_AE89_000102B17012_.wvu.PrintTitles" localSheetId="8" hidden="1">#REF!</definedName>
    <definedName name="Z_537B17C1_E5A8_11D6_AE89_000102B17012_.wvu.PrintTitles" localSheetId="32" hidden="1">#REF!</definedName>
    <definedName name="Z_537B17C1_E5A8_11D6_AE89_000102B17012_.wvu.PrintTitles" localSheetId="11" hidden="1">#REF!</definedName>
    <definedName name="Z_537B17C1_E5A8_11D6_AE89_000102B17012_.wvu.PrintTitles" localSheetId="35" hidden="1">#REF!</definedName>
    <definedName name="Z_537B17C1_E5A8_11D6_AE89_000102B17012_.wvu.PrintTitles" localSheetId="7" hidden="1">#REF!</definedName>
    <definedName name="Z_537B17C1_E5A8_11D6_AE89_000102B17012_.wvu.PrintTitles" localSheetId="25" hidden="1">#REF!</definedName>
    <definedName name="Z_537B17C1_E5A8_11D6_AE89_000102B17012_.wvu.PrintTitles" localSheetId="26" hidden="1">#REF!</definedName>
    <definedName name="Z_537B17C1_E5A8_11D6_AE89_000102B17012_.wvu.PrintTitles" localSheetId="23" hidden="1">#REF!</definedName>
    <definedName name="Z_537B17C1_E5A8_11D6_AE89_000102B17012_.wvu.PrintTitles" localSheetId="22" hidden="1">#REF!</definedName>
    <definedName name="Z_537B17C1_E5A8_11D6_AE89_000102B17012_.wvu.PrintTitles" localSheetId="31" hidden="1">#REF!</definedName>
    <definedName name="Z_537B17C1_E5A8_11D6_AE89_000102B17012_.wvu.PrintTitles" localSheetId="18" hidden="1">#REF!</definedName>
    <definedName name="Z_537B17C1_E5A8_11D6_AE89_000102B17012_.wvu.PrintTitles" localSheetId="54" hidden="1">#REF!</definedName>
    <definedName name="Z_537B17C1_E5A8_11D6_AE89_000102B17012_.wvu.PrintTitles" localSheetId="30" hidden="1">#REF!</definedName>
    <definedName name="Z_537B17C1_E5A8_11D6_AE89_000102B17012_.wvu.PrintTitles" localSheetId="14" hidden="1">#REF!</definedName>
    <definedName name="Z_537B17C1_E5A8_11D6_AE89_000102B17012_.wvu.PrintTitles" localSheetId="38" hidden="1">#REF!</definedName>
    <definedName name="Z_537B17C1_E5A8_11D6_AE89_000102B17012_.wvu.PrintTitles" localSheetId="39" hidden="1">#REF!</definedName>
    <definedName name="Z_537B17C1_E5A8_11D6_AE89_000102B17012_.wvu.PrintTitles" localSheetId="2" hidden="1">#REF!</definedName>
    <definedName name="Z_537B17C1_E5A8_11D6_AE89_000102B17012_.wvu.PrintTitles" localSheetId="58" hidden="1">#REF!</definedName>
    <definedName name="Z_537B17C1_E5A8_11D6_AE89_000102B17012_.wvu.PrintTitles" localSheetId="56" hidden="1">#REF!</definedName>
    <definedName name="Z_537B17C1_E5A8_11D6_AE89_000102B17012_.wvu.PrintTitles" localSheetId="19" hidden="1">#REF!</definedName>
    <definedName name="Z_537B17C1_E5A8_11D6_AE89_000102B17012_.wvu.PrintTitles" localSheetId="9" hidden="1">#REF!</definedName>
    <definedName name="Z_537B17C1_E5A8_11D6_AE89_000102B17012_.wvu.PrintTitles" localSheetId="6" hidden="1">#REF!</definedName>
    <definedName name="Z_537B17C1_E5A8_11D6_AE89_000102B17012_.wvu.PrintTitles" localSheetId="17" hidden="1">#REF!</definedName>
    <definedName name="Z_537B17C1_E5A8_11D6_AE89_000102B17012_.wvu.PrintTitles" hidden="1">#REF!</definedName>
    <definedName name="Z_9152C8F3_3345_432A_85DB_CEB362914C75_.wvu.Cols" localSheetId="15" hidden="1">Bilans!#REF!</definedName>
    <definedName name="Z_9152C8F3_3345_432A_85DB_CEB362914C75_.wvu.Cols" localSheetId="40" hidden="1">'Bilans''13-''15'!#REF!</definedName>
    <definedName name="Z_9152C8F3_3345_432A_85DB_CEB362914C75_.wvu.Cols" localSheetId="41" hidden="1">'Bilans''16'!#REF!</definedName>
    <definedName name="Z_9152C8F3_3345_432A_85DB_CEB362914C75_.wvu.Cols" localSheetId="42" hidden="1">'Bilans''17-''18'!#REF!</definedName>
    <definedName name="Z_9152C8F3_3345_432A_85DB_CEB362914C75_.wvu.Cols" localSheetId="43" hidden="1">'Bilans''19-''24'!#REF!</definedName>
    <definedName name="Z_9152C8F3_3345_432A_85DB_CEB362914C75_.wvu.Cols" localSheetId="23" hidden="1">'Kursy''13-''24'!#REF!,'Kursy''13-''24'!#REF!</definedName>
    <definedName name="Z_9152C8F3_3345_432A_85DB_CEB362914C75_.wvu.Cols" localSheetId="14" hidden="1">RZiS!#REF!</definedName>
    <definedName name="Z_9152C8F3_3345_432A_85DB_CEB362914C75_.wvu.Cols" localSheetId="37" hidden="1">'RZiS''13-''17'!#REF!</definedName>
    <definedName name="Z_9152C8F3_3345_432A_85DB_CEB362914C75_.wvu.Cols" localSheetId="38" hidden="1">'RZiS''18'!#REF!</definedName>
    <definedName name="Z_9152C8F3_3345_432A_85DB_CEB362914C75_.wvu.Cols" localSheetId="39" hidden="1">'RZiS''19-''24'!#REF!</definedName>
    <definedName name="Z_9152C8F3_3345_432A_85DB_CEB362914C75_.wvu.PrintArea" localSheetId="12" hidden="1">'Consumers&amp;Products'!$B$2:$B$17</definedName>
    <definedName name="Z_9152C8F3_3345_432A_85DB_CEB362914C75_.wvu.PrintArea" localSheetId="13" hidden="1">'Corporate functions'!$B$2:$B$19</definedName>
    <definedName name="Z_9152C8F3_3345_432A_85DB_CEB362914C75_.wvu.PrintArea" localSheetId="33" hidden="1">'Detal ''13-''24'!$B$4:$Q$20</definedName>
    <definedName name="Z_9152C8F3_3345_432A_85DB_CEB362914C75_.wvu.PrintArea" localSheetId="10" hidden="1">Downstream!$B$2:$B$17</definedName>
    <definedName name="Z_9152C8F3_3345_432A_85DB_CEB362914C75_.wvu.PrintArea" localSheetId="29" hidden="1">'Downstream''13-''19'!$B$4:$Q$23</definedName>
    <definedName name="Z_9152C8F3_3345_432A_85DB_CEB362914C75_.wvu.PrintArea" localSheetId="32" hidden="1">'Energetyka ''19-''24'!$B$4:$B$19</definedName>
    <definedName name="Z_9152C8F3_3345_432A_85DB_CEB362914C75_.wvu.PrintArea" localSheetId="11" hidden="1">Energy!$B$2:$B$15</definedName>
    <definedName name="Z_9152C8F3_3345_432A_85DB_CEB362914C75_.wvu.PrintArea" localSheetId="36" hidden="1">'Funkcje Korporacyjne ''13-''24'!$B$4:$Q$24</definedName>
    <definedName name="Z_9152C8F3_3345_432A_85DB_CEB362914C75_.wvu.PrintArea" localSheetId="35" hidden="1">'Gaz ''22-''24'!$B$4:$B$19</definedName>
    <definedName name="Z_9152C8F3_3345_432A_85DB_CEB362914C75_.wvu.PrintArea" localSheetId="23" hidden="1">'Kursy''13-''24'!$B$3:$BZ$18</definedName>
    <definedName name="Z_9152C8F3_3345_432A_85DB_CEB362914C75_.wvu.PrintArea" localSheetId="31" hidden="1">'Petrochemia ''19-''24'!$B$4:$B$22</definedName>
    <definedName name="Z_9152C8F3_3345_432A_85DB_CEB362914C75_.wvu.PrintArea" localSheetId="30" hidden="1">'Rafineria ''19-''24'!$B$4:$B$22</definedName>
    <definedName name="Z_9152C8F3_3345_432A_85DB_CEB362914C75_.wvu.PrintArea" localSheetId="9" hidden="1">'Upstream&amp;Supply'!$B$2:$B$17</definedName>
    <definedName name="Z_9152C8F3_3345_432A_85DB_CEB362914C75_.wvu.PrintArea" localSheetId="34" hidden="1">'Wydobycie ''13-''24'!$B$4:$Q$23</definedName>
    <definedName name="Z_9152C8F3_3345_432A_85DB_CEB362914C75_.wvu.Rows" localSheetId="23" hidden="1">'Kursy''13-''24'!$23:$34</definedName>
    <definedName name="Z_9152C8F3_3345_432A_85DB_CEB362914C75_.wvu.Rows" localSheetId="14" hidden="1">RZiS!$3:$9,RZiS!$13:$14</definedName>
    <definedName name="Z_9152C8F3_3345_432A_85DB_CEB362914C75_.wvu.Rows" localSheetId="37" hidden="1">'RZiS''13-''17'!$5:$13,'RZiS''13-''17'!$16:$17</definedName>
    <definedName name="Z_9152C8F3_3345_432A_85DB_CEB362914C75_.wvu.Rows" localSheetId="38" hidden="1">'RZiS''18'!$5:$16,'RZiS''18'!$20:$21</definedName>
    <definedName name="Z_9152C8F3_3345_432A_85DB_CEB362914C75_.wvu.Rows" localSheetId="39" hidden="1">'RZiS''19-''24'!$5:$17,'RZiS''19-''24'!$22:$23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48" i="93" l="1"/>
  <c r="B85" i="90" s="1"/>
  <c r="A2447" i="93"/>
  <c r="B84" i="90" s="1"/>
  <c r="A2446" i="93"/>
  <c r="B83" i="90" s="1"/>
  <c r="A2445" i="93"/>
  <c r="A2444" i="93"/>
  <c r="B81" i="90" s="1"/>
  <c r="A2443" i="93"/>
  <c r="A2442" i="93"/>
  <c r="B79" i="90" s="1"/>
  <c r="A2441" i="93"/>
  <c r="B78" i="90" s="1"/>
  <c r="A2440" i="93"/>
  <c r="B77" i="90" s="1"/>
  <c r="A2439" i="93"/>
  <c r="B76" i="90" s="1"/>
  <c r="A2438" i="93"/>
  <c r="B75" i="90" s="1"/>
  <c r="A2437" i="93"/>
  <c r="B74" i="90" s="1"/>
  <c r="A2436" i="93"/>
  <c r="B73" i="90" s="1"/>
  <c r="A2435" i="93"/>
  <c r="B72" i="90" s="1"/>
  <c r="A2434" i="93"/>
  <c r="B71" i="90" s="1"/>
  <c r="A2433" i="93"/>
  <c r="B70" i="90" s="1"/>
  <c r="A2432" i="93"/>
  <c r="B69" i="90" s="1"/>
  <c r="A2431" i="93"/>
  <c r="B68" i="90" s="1"/>
  <c r="A2430" i="93"/>
  <c r="B67" i="90" s="1"/>
  <c r="A2429" i="93"/>
  <c r="B66" i="90" s="1"/>
  <c r="A2428" i="93"/>
  <c r="B65" i="90" s="1"/>
  <c r="A2427" i="93"/>
  <c r="B64" i="90" s="1"/>
  <c r="A2426" i="93"/>
  <c r="A2425" i="93"/>
  <c r="B62" i="90" s="1"/>
  <c r="A2424" i="93"/>
  <c r="A2423" i="93"/>
  <c r="B60" i="90" s="1"/>
  <c r="A2422" i="93"/>
  <c r="A2421" i="93"/>
  <c r="B58" i="90" s="1"/>
  <c r="A2420" i="93"/>
  <c r="B57" i="90" s="1"/>
  <c r="A2419" i="93"/>
  <c r="B56" i="90" s="1"/>
  <c r="A2418" i="93"/>
  <c r="B55" i="90" s="1"/>
  <c r="A2417" i="93"/>
  <c r="B54" i="90" s="1"/>
  <c r="A2416" i="93"/>
  <c r="B53" i="90" s="1"/>
  <c r="A2415" i="93"/>
  <c r="B52" i="90" s="1"/>
  <c r="A2414" i="93"/>
  <c r="B51" i="90" s="1"/>
  <c r="A2413" i="93"/>
  <c r="B50" i="90" s="1"/>
  <c r="A2412" i="93"/>
  <c r="B49" i="90" s="1"/>
  <c r="A2411" i="93"/>
  <c r="B48" i="90" s="1"/>
  <c r="A2410" i="93"/>
  <c r="B47" i="90" s="1"/>
  <c r="A2409" i="93"/>
  <c r="B46" i="90" s="1"/>
  <c r="A2408" i="93"/>
  <c r="B45" i="90" s="1"/>
  <c r="A2407" i="93"/>
  <c r="B44" i="90" s="1"/>
  <c r="A2406" i="93"/>
  <c r="B43" i="90" s="1"/>
  <c r="A2405" i="93"/>
  <c r="B42" i="90" s="1"/>
  <c r="A2404" i="93"/>
  <c r="B41" i="90" s="1"/>
  <c r="A2403" i="93"/>
  <c r="B40" i="90" s="1"/>
  <c r="A2402" i="93"/>
  <c r="B39" i="90" s="1"/>
  <c r="A2401" i="93"/>
  <c r="B38" i="90" s="1"/>
  <c r="A2400" i="93"/>
  <c r="B37" i="90" s="1"/>
  <c r="A2399" i="93"/>
  <c r="A2398" i="93"/>
  <c r="A2397" i="93"/>
  <c r="A2396" i="93"/>
  <c r="B33" i="90" s="1"/>
  <c r="A2395" i="93"/>
  <c r="B32" i="90" s="1"/>
  <c r="A2394" i="93"/>
  <c r="B31" i="90" s="1"/>
  <c r="A2393" i="93"/>
  <c r="B30" i="90" s="1"/>
  <c r="A2392" i="93"/>
  <c r="B29" i="90" s="1"/>
  <c r="A2391" i="93"/>
  <c r="B28" i="90" s="1"/>
  <c r="A2390" i="93"/>
  <c r="B27" i="90" s="1"/>
  <c r="A2389" i="93"/>
  <c r="B26" i="90" s="1"/>
  <c r="A2388" i="93"/>
  <c r="B25" i="90" s="1"/>
  <c r="A2387" i="93"/>
  <c r="B24" i="90" s="1"/>
  <c r="A2386" i="93"/>
  <c r="A2385" i="93"/>
  <c r="B22" i="90" s="1"/>
  <c r="A2384" i="93"/>
  <c r="A2383" i="93"/>
  <c r="B20" i="90" s="1"/>
  <c r="A2382" i="93"/>
  <c r="B19" i="90" s="1"/>
  <c r="A2381" i="93"/>
  <c r="B18" i="90" s="1"/>
  <c r="A2380" i="93"/>
  <c r="B17" i="90" s="1"/>
  <c r="A2379" i="93"/>
  <c r="B16" i="90" s="1"/>
  <c r="A2378" i="93"/>
  <c r="B15" i="90" s="1"/>
  <c r="A2377" i="93"/>
  <c r="A2376" i="93"/>
  <c r="B13" i="90" s="1"/>
  <c r="A2375" i="93"/>
  <c r="A2374" i="93"/>
  <c r="B11" i="90" s="1"/>
  <c r="A2373" i="93"/>
  <c r="B10" i="90" s="1"/>
  <c r="A2372" i="93"/>
  <c r="B9" i="90" s="1"/>
  <c r="A2371" i="93"/>
  <c r="B8" i="90" s="1"/>
  <c r="A2370" i="93"/>
  <c r="B7" i="90" s="1"/>
  <c r="A2369" i="93"/>
  <c r="B6" i="90" s="1"/>
  <c r="A2368" i="93"/>
  <c r="A2367" i="93"/>
  <c r="B4" i="90" s="1"/>
  <c r="A2366" i="93"/>
  <c r="A2365" i="93"/>
  <c r="B2" i="90" s="1"/>
  <c r="A2364" i="93"/>
  <c r="B1" i="90" s="1"/>
  <c r="A2363" i="93"/>
  <c r="Q85" i="90" l="1"/>
  <c r="Q84" i="90"/>
  <c r="Q83" i="90"/>
  <c r="G79" i="90"/>
  <c r="Q78" i="90"/>
  <c r="Q77" i="90"/>
  <c r="P76" i="90"/>
  <c r="Q76" i="90" s="1"/>
  <c r="O76" i="90"/>
  <c r="N76" i="90"/>
  <c r="M76" i="90"/>
  <c r="L76" i="90"/>
  <c r="K76" i="90"/>
  <c r="J76" i="90"/>
  <c r="I76" i="90"/>
  <c r="H76" i="90"/>
  <c r="G76" i="90"/>
  <c r="F76" i="90"/>
  <c r="E76" i="90"/>
  <c r="D76" i="90"/>
  <c r="C76" i="90"/>
  <c r="Q75" i="90"/>
  <c r="Q74" i="90"/>
  <c r="Q73" i="90"/>
  <c r="Q72" i="90"/>
  <c r="Q71" i="90"/>
  <c r="P70" i="90"/>
  <c r="Q70" i="90" s="1"/>
  <c r="O70" i="90"/>
  <c r="N70" i="90"/>
  <c r="M70" i="90"/>
  <c r="Q69" i="90"/>
  <c r="Q68" i="90"/>
  <c r="Q67" i="90"/>
  <c r="Q66" i="90"/>
  <c r="Q65" i="90"/>
  <c r="Q64" i="90"/>
  <c r="P64" i="90"/>
  <c r="O64" i="90"/>
  <c r="N64" i="90"/>
  <c r="M64" i="90"/>
  <c r="Q58" i="90"/>
  <c r="L58" i="90"/>
  <c r="Q57" i="90"/>
  <c r="L57" i="90"/>
  <c r="G57" i="90"/>
  <c r="Q56" i="90"/>
  <c r="Q55" i="90"/>
  <c r="Q54" i="90"/>
  <c r="Q53" i="90"/>
  <c r="P52" i="90"/>
  <c r="Q52" i="90" s="1"/>
  <c r="O52" i="90"/>
  <c r="N52" i="90"/>
  <c r="M52" i="90"/>
  <c r="L52" i="90"/>
  <c r="Q51" i="90"/>
  <c r="L51" i="90"/>
  <c r="Q50" i="90"/>
  <c r="L50" i="90"/>
  <c r="Q49" i="90"/>
  <c r="L49" i="90"/>
  <c r="Q48" i="90"/>
  <c r="L48" i="90"/>
  <c r="Q47" i="90"/>
  <c r="L47" i="90"/>
  <c r="Q46" i="90"/>
  <c r="L46" i="90"/>
  <c r="Q45" i="90"/>
  <c r="L45" i="90"/>
  <c r="P44" i="90"/>
  <c r="Q44" i="90" s="1"/>
  <c r="O44" i="90"/>
  <c r="N44" i="90"/>
  <c r="M44" i="90"/>
  <c r="L44" i="90"/>
  <c r="K44" i="90"/>
  <c r="J44" i="90"/>
  <c r="I44" i="90"/>
  <c r="H44" i="90"/>
  <c r="Q43" i="90"/>
  <c r="L43" i="90"/>
  <c r="Q42" i="90"/>
  <c r="L42" i="90"/>
  <c r="Q41" i="90"/>
  <c r="L41" i="90"/>
  <c r="Q40" i="90"/>
  <c r="L40" i="90"/>
  <c r="Q39" i="90"/>
  <c r="L39" i="90"/>
  <c r="Q38" i="90"/>
  <c r="L38" i="90"/>
  <c r="P37" i="90"/>
  <c r="Q37" i="90" s="1"/>
  <c r="O37" i="90"/>
  <c r="N37" i="90"/>
  <c r="M37" i="90"/>
  <c r="K37" i="90"/>
  <c r="J37" i="90"/>
  <c r="L37" i="90" s="1"/>
  <c r="I37" i="90"/>
  <c r="H37" i="90"/>
  <c r="Q33" i="90"/>
  <c r="L33" i="90"/>
  <c r="Q32" i="90"/>
  <c r="L32" i="90"/>
  <c r="Q31" i="90"/>
  <c r="L31" i="90"/>
  <c r="L29" i="90" s="1"/>
  <c r="Q30" i="90"/>
  <c r="Q29" i="90" s="1"/>
  <c r="L30" i="90"/>
  <c r="P29" i="90"/>
  <c r="O29" i="90"/>
  <c r="M29" i="90"/>
  <c r="K29" i="90"/>
  <c r="J29" i="90"/>
  <c r="I29" i="90"/>
  <c r="H29" i="90"/>
  <c r="G29" i="90"/>
  <c r="F29" i="90"/>
  <c r="E29" i="90"/>
  <c r="D29" i="90"/>
  <c r="C29" i="90"/>
  <c r="Q28" i="90"/>
  <c r="L28" i="90"/>
  <c r="Q27" i="90"/>
  <c r="L27" i="90"/>
  <c r="Q26" i="90"/>
  <c r="L26" i="90"/>
  <c r="Q25" i="90"/>
  <c r="L25" i="90"/>
  <c r="L24" i="90" s="1"/>
  <c r="O24" i="90"/>
  <c r="Q24" i="90" s="1"/>
  <c r="M24" i="90"/>
  <c r="K24" i="90"/>
  <c r="J24" i="90"/>
  <c r="I24" i="90"/>
  <c r="H24" i="90"/>
  <c r="G24" i="90"/>
  <c r="F24" i="90"/>
  <c r="E24" i="90"/>
  <c r="D24" i="90"/>
  <c r="C24" i="90"/>
  <c r="Q20" i="90"/>
  <c r="L20" i="90"/>
  <c r="Q19" i="90"/>
  <c r="L19" i="90"/>
  <c r="Q18" i="90"/>
  <c r="L18" i="90"/>
  <c r="Q17" i="90"/>
  <c r="L17" i="90"/>
  <c r="Q16" i="90"/>
  <c r="L16" i="90"/>
  <c r="L15" i="90" s="1"/>
  <c r="Q15" i="90"/>
  <c r="P15" i="90"/>
  <c r="O15" i="90"/>
  <c r="N15" i="90"/>
  <c r="M15" i="90"/>
  <c r="K15" i="90"/>
  <c r="J15" i="90"/>
  <c r="I15" i="90"/>
  <c r="H15" i="90"/>
  <c r="G15" i="90"/>
  <c r="F15" i="90"/>
  <c r="E15" i="90"/>
  <c r="D15" i="90"/>
  <c r="C15" i="90"/>
  <c r="Q11" i="90"/>
  <c r="Q10" i="90"/>
  <c r="Q9" i="90"/>
  <c r="Q8" i="90"/>
  <c r="Q7" i="90"/>
  <c r="K9" i="115" l="1"/>
  <c r="G9" i="115"/>
  <c r="L9" i="115"/>
  <c r="A2362" i="93"/>
  <c r="B23" i="109" s="1"/>
  <c r="A2361" i="93"/>
  <c r="B22" i="109" s="1"/>
  <c r="A2360" i="93"/>
  <c r="B21" i="109" s="1"/>
  <c r="A2359" i="93"/>
  <c r="B20" i="109" s="1"/>
  <c r="A2358" i="93"/>
  <c r="B19" i="109" s="1"/>
  <c r="A2357" i="93"/>
  <c r="A2356" i="93"/>
  <c r="A2355" i="93"/>
  <c r="A2354" i="93"/>
  <c r="A2353" i="93"/>
  <c r="A2352" i="93"/>
  <c r="A2351" i="93"/>
  <c r="A2348" i="93"/>
  <c r="A2347" i="93"/>
  <c r="A2346" i="93"/>
  <c r="A2345" i="93"/>
  <c r="A2344" i="93"/>
  <c r="A2343" i="93"/>
  <c r="B4" i="109" s="1"/>
  <c r="A2342" i="93"/>
  <c r="A2341" i="93"/>
  <c r="A2350" i="93"/>
  <c r="B11" i="109" s="1"/>
  <c r="A2349" i="93"/>
  <c r="B10" i="109" s="1"/>
  <c r="G25" i="115" l="1"/>
  <c r="L25" i="115"/>
  <c r="S41" i="73" l="1"/>
  <c r="K41" i="73"/>
  <c r="E40" i="73"/>
  <c r="K37" i="73"/>
  <c r="O34" i="73"/>
  <c r="S29" i="73"/>
  <c r="U65" i="73"/>
  <c r="Q65" i="73"/>
  <c r="P65" i="73"/>
  <c r="O65" i="73"/>
  <c r="M65" i="73"/>
  <c r="J65" i="73"/>
  <c r="I65" i="73"/>
  <c r="H65" i="73"/>
  <c r="G65" i="73"/>
  <c r="E65" i="73"/>
  <c r="V64" i="73"/>
  <c r="U64" i="73"/>
  <c r="T64" i="73"/>
  <c r="S64" i="73"/>
  <c r="Q64" i="73"/>
  <c r="M64" i="73"/>
  <c r="L64" i="73"/>
  <c r="K64" i="73"/>
  <c r="I64" i="73"/>
  <c r="F64" i="73"/>
  <c r="D64" i="73"/>
  <c r="C64" i="73"/>
  <c r="U63" i="73"/>
  <c r="S63" i="73"/>
  <c r="R63" i="73"/>
  <c r="Q63" i="73"/>
  <c r="P63" i="73"/>
  <c r="O63" i="73"/>
  <c r="J63" i="73"/>
  <c r="I63" i="73"/>
  <c r="H63" i="73"/>
  <c r="G63" i="73"/>
  <c r="E63" i="73"/>
  <c r="R41" i="73"/>
  <c r="O41" i="73"/>
  <c r="J41" i="73"/>
  <c r="G41" i="73"/>
  <c r="V40" i="73"/>
  <c r="T40" i="73"/>
  <c r="N40" i="73"/>
  <c r="L40" i="73"/>
  <c r="F40" i="73"/>
  <c r="D40" i="73"/>
  <c r="U39" i="73"/>
  <c r="R39" i="73"/>
  <c r="P39" i="73"/>
  <c r="J39" i="73"/>
  <c r="H39" i="73"/>
  <c r="V38" i="73"/>
  <c r="T38" i="73"/>
  <c r="S38" i="73"/>
  <c r="L38" i="73"/>
  <c r="K38" i="73"/>
  <c r="F38" i="73"/>
  <c r="D38" i="73"/>
  <c r="R37" i="73"/>
  <c r="P37" i="73"/>
  <c r="O37" i="73"/>
  <c r="J37" i="73"/>
  <c r="H37" i="73"/>
  <c r="G37" i="73"/>
  <c r="V36" i="73"/>
  <c r="T36" i="73"/>
  <c r="Q36" i="73"/>
  <c r="L36" i="73"/>
  <c r="K36" i="73"/>
  <c r="F36" i="73"/>
  <c r="D36" i="73"/>
  <c r="P35" i="73"/>
  <c r="M35" i="73"/>
  <c r="H35" i="73"/>
  <c r="V34" i="73"/>
  <c r="T34" i="73"/>
  <c r="Q34" i="73"/>
  <c r="N34" i="73"/>
  <c r="L34" i="73"/>
  <c r="F34" i="73"/>
  <c r="D34" i="73"/>
  <c r="R33" i="73"/>
  <c r="O33" i="73"/>
  <c r="J33" i="73"/>
  <c r="G33" i="73"/>
  <c r="V32" i="73"/>
  <c r="T32" i="73"/>
  <c r="L32" i="73"/>
  <c r="F32" i="73"/>
  <c r="D32" i="73"/>
  <c r="U31" i="73"/>
  <c r="R31" i="73"/>
  <c r="P31" i="73"/>
  <c r="M31" i="73"/>
  <c r="J31" i="73"/>
  <c r="H31" i="73"/>
  <c r="E31" i="73"/>
  <c r="V30" i="73"/>
  <c r="T30" i="73"/>
  <c r="S30" i="73"/>
  <c r="L30" i="73"/>
  <c r="K30" i="73"/>
  <c r="F30" i="73"/>
  <c r="D30" i="73"/>
  <c r="R29" i="73"/>
  <c r="P29" i="73"/>
  <c r="O29" i="73"/>
  <c r="K29" i="73"/>
  <c r="J29" i="73"/>
  <c r="H29" i="73"/>
  <c r="G29" i="73"/>
  <c r="V28" i="73"/>
  <c r="T28" i="73"/>
  <c r="L28" i="73"/>
  <c r="I28" i="73"/>
  <c r="F28" i="73"/>
  <c r="D28" i="73"/>
  <c r="C14" i="117"/>
  <c r="D14" i="117"/>
  <c r="E14" i="117"/>
  <c r="V65" i="73"/>
  <c r="V63" i="73"/>
  <c r="L12" i="115" s="1"/>
  <c r="T65" i="73"/>
  <c r="T63" i="73"/>
  <c r="T66" i="73" s="1"/>
  <c r="S65" i="73"/>
  <c r="R65" i="73"/>
  <c r="R64" i="73"/>
  <c r="P64" i="73"/>
  <c r="O64" i="73"/>
  <c r="N65" i="73"/>
  <c r="N63" i="73"/>
  <c r="M63" i="73"/>
  <c r="L65" i="73"/>
  <c r="L63" i="73"/>
  <c r="L66" i="73" s="1"/>
  <c r="K65" i="73"/>
  <c r="K63" i="73"/>
  <c r="K33" i="73"/>
  <c r="J64" i="73"/>
  <c r="H64" i="73"/>
  <c r="G64" i="73"/>
  <c r="G34" i="73"/>
  <c r="F65" i="73"/>
  <c r="F63" i="73"/>
  <c r="E64" i="73"/>
  <c r="D65" i="73"/>
  <c r="D63" i="73"/>
  <c r="C65" i="73"/>
  <c r="C63" i="73"/>
  <c r="I31" i="73" l="1"/>
  <c r="Q31" i="73"/>
  <c r="E32" i="73"/>
  <c r="M32" i="73"/>
  <c r="U32" i="73"/>
  <c r="I35" i="73"/>
  <c r="Q35" i="73"/>
  <c r="E38" i="73"/>
  <c r="I39" i="73"/>
  <c r="Q39" i="73"/>
  <c r="M40" i="73"/>
  <c r="U40" i="73"/>
  <c r="S33" i="73"/>
  <c r="S37" i="73"/>
  <c r="J32" i="73"/>
  <c r="R32" i="73"/>
  <c r="F33" i="73"/>
  <c r="V33" i="73"/>
  <c r="J34" i="73"/>
  <c r="F35" i="73"/>
  <c r="N35" i="73"/>
  <c r="V35" i="73"/>
  <c r="J36" i="73"/>
  <c r="R36" i="73"/>
  <c r="F37" i="73"/>
  <c r="N37" i="73"/>
  <c r="V37" i="73"/>
  <c r="J38" i="73"/>
  <c r="R38" i="73"/>
  <c r="J40" i="73"/>
  <c r="R40" i="73"/>
  <c r="F41" i="73"/>
  <c r="J28" i="73"/>
  <c r="R34" i="73"/>
  <c r="V41" i="73"/>
  <c r="N64" i="73"/>
  <c r="N36" i="73"/>
  <c r="N28" i="73"/>
  <c r="N38" i="73"/>
  <c r="N30" i="73"/>
  <c r="N32" i="73"/>
  <c r="N41" i="73"/>
  <c r="N33" i="73"/>
  <c r="R28" i="73"/>
  <c r="F29" i="73"/>
  <c r="N29" i="73"/>
  <c r="V29" i="73"/>
  <c r="J30" i="73"/>
  <c r="R30" i="73"/>
  <c r="P28" i="73"/>
  <c r="D35" i="73"/>
  <c r="L35" i="73"/>
  <c r="H36" i="73"/>
  <c r="H28" i="73"/>
  <c r="H30" i="73"/>
  <c r="P30" i="73"/>
  <c r="D31" i="73"/>
  <c r="L31" i="73"/>
  <c r="T31" i="73"/>
  <c r="H32" i="73"/>
  <c r="P32" i="73"/>
  <c r="D33" i="73"/>
  <c r="L33" i="73"/>
  <c r="T33" i="73"/>
  <c r="H34" i="73"/>
  <c r="P34" i="73"/>
  <c r="T35" i="73"/>
  <c r="P36" i="73"/>
  <c r="H38" i="73"/>
  <c r="P38" i="73"/>
  <c r="D39" i="73"/>
  <c r="L39" i="73"/>
  <c r="T39" i="73"/>
  <c r="H40" i="73"/>
  <c r="P40" i="73"/>
  <c r="D41" i="73"/>
  <c r="L41" i="73"/>
  <c r="T41" i="73"/>
  <c r="Q28" i="73"/>
  <c r="E35" i="73"/>
  <c r="U35" i="73"/>
  <c r="I36" i="73"/>
  <c r="E39" i="73"/>
  <c r="M39" i="73"/>
  <c r="J66" i="73"/>
  <c r="E28" i="73"/>
  <c r="E36" i="73"/>
  <c r="G30" i="73"/>
  <c r="G38" i="73"/>
  <c r="I32" i="73"/>
  <c r="I40" i="73"/>
  <c r="K34" i="73"/>
  <c r="M28" i="73"/>
  <c r="M36" i="73"/>
  <c r="O30" i="73"/>
  <c r="O38" i="73"/>
  <c r="Q32" i="73"/>
  <c r="Q40" i="73"/>
  <c r="S34" i="73"/>
  <c r="U28" i="73"/>
  <c r="U36" i="73"/>
  <c r="E29" i="73"/>
  <c r="E37" i="73"/>
  <c r="G31" i="73"/>
  <c r="G39" i="73"/>
  <c r="I33" i="73"/>
  <c r="I41" i="73"/>
  <c r="K35" i="73"/>
  <c r="M29" i="73"/>
  <c r="M37" i="73"/>
  <c r="O31" i="73"/>
  <c r="O39" i="73"/>
  <c r="Q33" i="73"/>
  <c r="Q41" i="73"/>
  <c r="S35" i="73"/>
  <c r="S66" i="73"/>
  <c r="U29" i="73"/>
  <c r="U37" i="73"/>
  <c r="E30" i="73"/>
  <c r="G32" i="73"/>
  <c r="G40" i="73"/>
  <c r="I34" i="73"/>
  <c r="K28" i="73"/>
  <c r="M30" i="73"/>
  <c r="M38" i="73"/>
  <c r="O32" i="73"/>
  <c r="O40" i="73"/>
  <c r="S28" i="73"/>
  <c r="S36" i="73"/>
  <c r="U30" i="73"/>
  <c r="U38" i="73"/>
  <c r="G12" i="115"/>
  <c r="Q66" i="73"/>
  <c r="K12" i="115"/>
  <c r="D29" i="73"/>
  <c r="D37" i="73"/>
  <c r="F31" i="73"/>
  <c r="F39" i="73"/>
  <c r="H33" i="73"/>
  <c r="H41" i="73"/>
  <c r="J35" i="73"/>
  <c r="L29" i="73"/>
  <c r="L37" i="73"/>
  <c r="N31" i="73"/>
  <c r="N39" i="73"/>
  <c r="P33" i="73"/>
  <c r="P41" i="73"/>
  <c r="R35" i="73"/>
  <c r="T29" i="73"/>
  <c r="T37" i="73"/>
  <c r="V31" i="73"/>
  <c r="V39" i="73"/>
  <c r="F66" i="73"/>
  <c r="E41" i="73"/>
  <c r="G35" i="73"/>
  <c r="I29" i="73"/>
  <c r="K31" i="73"/>
  <c r="M41" i="73"/>
  <c r="O35" i="73"/>
  <c r="Q29" i="73"/>
  <c r="Q37" i="73"/>
  <c r="S31" i="73"/>
  <c r="S39" i="73"/>
  <c r="U33" i="73"/>
  <c r="U41" i="73"/>
  <c r="N66" i="73"/>
  <c r="E33" i="73"/>
  <c r="M33" i="73"/>
  <c r="E34" i="73"/>
  <c r="G28" i="73"/>
  <c r="I30" i="73"/>
  <c r="I38" i="73"/>
  <c r="K32" i="73"/>
  <c r="K40" i="73"/>
  <c r="M34" i="73"/>
  <c r="O28" i="73"/>
  <c r="O36" i="73"/>
  <c r="Q30" i="73"/>
  <c r="Q38" i="73"/>
  <c r="S32" i="73"/>
  <c r="S40" i="73"/>
  <c r="U34" i="73"/>
  <c r="I37" i="73"/>
  <c r="K39" i="73"/>
  <c r="G36" i="73"/>
  <c r="E66" i="73"/>
  <c r="F12" i="115"/>
  <c r="D66" i="73"/>
  <c r="V66" i="73"/>
  <c r="M66" i="73"/>
  <c r="U66" i="73"/>
  <c r="K66" i="73"/>
  <c r="O66" i="73"/>
  <c r="R66" i="73"/>
  <c r="I66" i="73"/>
  <c r="H66" i="73"/>
  <c r="P66" i="73"/>
  <c r="G66" i="73"/>
  <c r="R42" i="73" l="1"/>
  <c r="J42" i="73"/>
  <c r="F14" i="115" s="1"/>
  <c r="D42" i="73"/>
  <c r="F42" i="73"/>
  <c r="O42" i="73"/>
  <c r="V42" i="73"/>
  <c r="L14" i="115" s="1"/>
  <c r="P42" i="73"/>
  <c r="G42" i="73"/>
  <c r="T42" i="73"/>
  <c r="K14" i="115" s="1"/>
  <c r="E42" i="73"/>
  <c r="N42" i="73"/>
  <c r="H42" i="73"/>
  <c r="L42" i="73"/>
  <c r="G14" i="115" s="1"/>
  <c r="Q42" i="73"/>
  <c r="M42" i="73"/>
  <c r="K42" i="73"/>
  <c r="U42" i="73"/>
  <c r="S42" i="73"/>
  <c r="I42" i="73"/>
  <c r="J6" i="115"/>
  <c r="I6" i="115"/>
  <c r="H6" i="115"/>
  <c r="F20" i="115" l="1"/>
  <c r="G20" i="115" s="1"/>
  <c r="F19" i="115"/>
  <c r="G19" i="115" s="1"/>
  <c r="F9" i="115" l="1"/>
  <c r="A706" i="93" l="1"/>
  <c r="B21" i="83" s="1"/>
  <c r="L21" i="115" l="1"/>
  <c r="K21" i="115" l="1"/>
  <c r="L22" i="115" l="1"/>
  <c r="K22" i="115"/>
  <c r="K17" i="115" l="1"/>
  <c r="K3" i="115"/>
  <c r="L3" i="115" l="1"/>
  <c r="L17" i="115"/>
  <c r="K20" i="115"/>
  <c r="L20" i="115" s="1"/>
  <c r="K19" i="115"/>
  <c r="L19" i="115" s="1"/>
  <c r="G12" i="20" l="1"/>
  <c r="G13" i="20" s="1"/>
  <c r="L8" i="115"/>
  <c r="L12" i="52"/>
  <c r="G8" i="115"/>
  <c r="L7" i="115"/>
  <c r="G7" i="115"/>
  <c r="A2222" i="93"/>
  <c r="B7" i="118" s="1"/>
  <c r="G12" i="71" l="1"/>
  <c r="G13" i="71" s="1"/>
  <c r="L12" i="20"/>
  <c r="L13" i="20" s="1"/>
  <c r="L12" i="71"/>
  <c r="L13" i="71" s="1"/>
  <c r="G12" i="52"/>
  <c r="G13" i="52" s="1"/>
  <c r="B10" i="118"/>
  <c r="L13" i="52"/>
  <c r="B13" i="118"/>
  <c r="L6" i="115" l="1"/>
  <c r="G6" i="115"/>
  <c r="G12" i="117" l="1"/>
  <c r="G14" i="117" s="1"/>
  <c r="G15" i="117" s="1"/>
  <c r="L12" i="117"/>
  <c r="L14" i="117" s="1"/>
  <c r="L15" i="117" s="1"/>
  <c r="L5" i="115"/>
  <c r="G5" i="115"/>
  <c r="G12" i="116" l="1"/>
  <c r="G14" i="116" s="1"/>
  <c r="G15" i="116" s="1"/>
  <c r="L4" i="115"/>
  <c r="L12" i="116"/>
  <c r="L14" i="116" s="1"/>
  <c r="L15" i="116" s="1"/>
  <c r="A64" i="93" l="1"/>
  <c r="B60" i="79" s="1"/>
  <c r="G38" i="10" l="1"/>
  <c r="F38" i="10"/>
  <c r="E38" i="10"/>
  <c r="D38" i="10"/>
  <c r="C38" i="10"/>
  <c r="A2291" i="93"/>
  <c r="A2292" i="93"/>
  <c r="A2293" i="93"/>
  <c r="A2294" i="93"/>
  <c r="A2295" i="93"/>
  <c r="A2296" i="93"/>
  <c r="A2297" i="93"/>
  <c r="A2298" i="93"/>
  <c r="A2299" i="93"/>
  <c r="A2300" i="93"/>
  <c r="A2301" i="93"/>
  <c r="A2302" i="93"/>
  <c r="B14" i="117" s="1"/>
  <c r="A2303" i="93"/>
  <c r="B13" i="117" s="1"/>
  <c r="A2304" i="93"/>
  <c r="A2305" i="93"/>
  <c r="A2306" i="93"/>
  <c r="B12" i="71" s="1"/>
  <c r="A2307" i="93"/>
  <c r="B10" i="71" s="1"/>
  <c r="A2308" i="93"/>
  <c r="B69" i="73" s="1"/>
  <c r="A2309" i="93"/>
  <c r="A2310" i="93"/>
  <c r="B2" i="116" s="1"/>
  <c r="A2311" i="93"/>
  <c r="B16" i="117" s="1"/>
  <c r="A2312" i="93"/>
  <c r="B2" i="117" s="1"/>
  <c r="A2313" i="93"/>
  <c r="B2" i="71" s="1"/>
  <c r="A2314" i="93"/>
  <c r="B14" i="20" s="1"/>
  <c r="A2315" i="93"/>
  <c r="B2" i="52" s="1"/>
  <c r="A2316" i="93"/>
  <c r="B2" i="20" s="1"/>
  <c r="A2317" i="93"/>
  <c r="B13" i="10" s="1"/>
  <c r="A2318" i="93"/>
  <c r="A2319" i="93"/>
  <c r="B5" i="73" s="1"/>
  <c r="B70" i="73" s="1"/>
  <c r="A2320" i="93"/>
  <c r="B6" i="73" s="1"/>
  <c r="A2321" i="93"/>
  <c r="B7" i="73" s="1"/>
  <c r="A2322" i="93"/>
  <c r="B8" i="73" s="1"/>
  <c r="B71" i="73" s="1"/>
  <c r="A2323" i="93"/>
  <c r="B9" i="73" s="1"/>
  <c r="A2324" i="93"/>
  <c r="B10" i="73" s="1"/>
  <c r="A2325" i="93"/>
  <c r="B11" i="73" s="1"/>
  <c r="B72" i="73" s="1"/>
  <c r="A2326" i="93"/>
  <c r="B12" i="73" s="1"/>
  <c r="A2327" i="93"/>
  <c r="B13" i="73" s="1"/>
  <c r="A2328" i="93"/>
  <c r="B14" i="73" s="1"/>
  <c r="A2329" i="93"/>
  <c r="B15" i="73" s="1"/>
  <c r="B73" i="73" s="1"/>
  <c r="A2330" i="93"/>
  <c r="B16" i="73" s="1"/>
  <c r="A2331" i="93"/>
  <c r="B17" i="73" s="1"/>
  <c r="A2332" i="93"/>
  <c r="B18" i="73" s="1"/>
  <c r="B74" i="73" s="1"/>
  <c r="A2333" i="93"/>
  <c r="B19" i="73" s="1"/>
  <c r="A2334" i="93"/>
  <c r="B20" i="73" s="1"/>
  <c r="A2335" i="93"/>
  <c r="B21" i="73" s="1"/>
  <c r="A2336" i="93"/>
  <c r="B22" i="73" s="1"/>
  <c r="A2337" i="93"/>
  <c r="B23" i="73" s="1"/>
  <c r="A2338" i="93"/>
  <c r="A2339" i="93"/>
  <c r="A2340" i="93"/>
  <c r="B2" i="109"/>
  <c r="B3" i="109"/>
  <c r="B5" i="109"/>
  <c r="B6" i="109"/>
  <c r="B7" i="109"/>
  <c r="B8" i="109"/>
  <c r="B9" i="109"/>
  <c r="B12" i="109"/>
  <c r="B13" i="109"/>
  <c r="B14" i="109"/>
  <c r="B15" i="109"/>
  <c r="B16" i="109"/>
  <c r="B17" i="109"/>
  <c r="B65" i="73" l="1"/>
  <c r="B64" i="73"/>
  <c r="B38" i="73"/>
  <c r="B13" i="116"/>
  <c r="B14" i="116"/>
  <c r="B16" i="116"/>
  <c r="B63" i="73"/>
  <c r="B10" i="117"/>
  <c r="B12" i="117"/>
  <c r="B12" i="116"/>
  <c r="B41" i="73"/>
  <c r="B61" i="73"/>
  <c r="B37" i="73"/>
  <c r="B57" i="73"/>
  <c r="B56" i="73"/>
  <c r="B36" i="73"/>
  <c r="B60" i="73"/>
  <c r="B40" i="73"/>
  <c r="B35" i="73"/>
  <c r="B55" i="73"/>
  <c r="B39" i="73"/>
  <c r="B59" i="73"/>
  <c r="B10" i="20"/>
  <c r="B12" i="20"/>
  <c r="B10" i="52"/>
  <c r="B66" i="73"/>
  <c r="B58" i="73"/>
  <c r="B10" i="116"/>
  <c r="B14" i="71"/>
  <c r="B14" i="52"/>
  <c r="A2197" i="93" l="1"/>
  <c r="A2198" i="93"/>
  <c r="A2199" i="93"/>
  <c r="A2200" i="93"/>
  <c r="A2201" i="93"/>
  <c r="A2202" i="93"/>
  <c r="A2203" i="93"/>
  <c r="A2204" i="93"/>
  <c r="A2205" i="93"/>
  <c r="A2206" i="93"/>
  <c r="A2207" i="93"/>
  <c r="A2208" i="93"/>
  <c r="A2209" i="93"/>
  <c r="A2210" i="93"/>
  <c r="A2211" i="93"/>
  <c r="A2212" i="93"/>
  <c r="A2213" i="93"/>
  <c r="A2214" i="93"/>
  <c r="A2215" i="93"/>
  <c r="I9" i="115" l="1"/>
  <c r="H9" i="115"/>
  <c r="D9" i="115"/>
  <c r="C9" i="115"/>
  <c r="H19" i="115" l="1"/>
  <c r="I19" i="115"/>
  <c r="I12" i="115"/>
  <c r="H12" i="115"/>
  <c r="D12" i="115"/>
  <c r="C12" i="115"/>
  <c r="E10" i="115"/>
  <c r="D10" i="115"/>
  <c r="J9" i="115" l="1"/>
  <c r="E9" i="115"/>
  <c r="J12" i="115" l="1"/>
  <c r="E12" i="115" l="1"/>
  <c r="D6" i="115" l="1"/>
  <c r="D3" i="115"/>
  <c r="D12" i="116"/>
  <c r="D14" i="116" s="1"/>
  <c r="D5" i="115" s="1"/>
  <c r="C12" i="116"/>
  <c r="C14" i="116" s="1"/>
  <c r="C5" i="115" s="1"/>
  <c r="I12" i="116"/>
  <c r="I14" i="116" s="1"/>
  <c r="I5" i="115" s="1"/>
  <c r="D12" i="117"/>
  <c r="C12" i="117"/>
  <c r="I12" i="117"/>
  <c r="I14" i="117" s="1"/>
  <c r="D7" i="115"/>
  <c r="I12" i="71"/>
  <c r="I7" i="115" s="1"/>
  <c r="D12" i="71"/>
  <c r="C12" i="71"/>
  <c r="C7" i="115" s="1"/>
  <c r="H12" i="71"/>
  <c r="D8" i="115"/>
  <c r="I12" i="52"/>
  <c r="I8" i="115" s="1"/>
  <c r="D12" i="52"/>
  <c r="C12" i="52"/>
  <c r="C8" i="115" s="1"/>
  <c r="I12" i="20"/>
  <c r="I4" i="115" l="1"/>
  <c r="G14" i="9"/>
  <c r="G13" i="9"/>
  <c r="I8" i="10" l="1"/>
  <c r="H8" i="10"/>
  <c r="G8" i="10"/>
  <c r="F8" i="10"/>
  <c r="D8" i="10"/>
  <c r="C8" i="10"/>
  <c r="I22" i="115" l="1"/>
  <c r="I21" i="115"/>
  <c r="I20" i="115"/>
  <c r="H17" i="115"/>
  <c r="G17" i="115"/>
  <c r="F17" i="115"/>
  <c r="I3" i="115"/>
  <c r="I17" i="115"/>
  <c r="C17" i="115" l="1"/>
  <c r="C21" i="115"/>
  <c r="D69" i="73"/>
  <c r="C10" i="115" s="1"/>
  <c r="H12" i="52" l="1"/>
  <c r="H8" i="115" s="1"/>
  <c r="H7" i="115"/>
  <c r="H12" i="117"/>
  <c r="H14" i="117" s="1"/>
  <c r="H12" i="116"/>
  <c r="H14" i="116" l="1"/>
  <c r="H22" i="115"/>
  <c r="G22" i="115"/>
  <c r="F22" i="115"/>
  <c r="E22" i="115"/>
  <c r="D22" i="115"/>
  <c r="C22" i="115"/>
  <c r="H21" i="115"/>
  <c r="G21" i="115"/>
  <c r="F21" i="115"/>
  <c r="E21" i="115"/>
  <c r="D21" i="115"/>
  <c r="H20" i="115"/>
  <c r="D17" i="115"/>
  <c r="G4" i="115"/>
  <c r="D4" i="115"/>
  <c r="D11" i="115" s="1"/>
  <c r="H3" i="115"/>
  <c r="G3" i="115"/>
  <c r="F3" i="115"/>
  <c r="E3" i="115"/>
  <c r="C3" i="115"/>
  <c r="H5" i="115" l="1"/>
  <c r="H4" i="115" s="1"/>
  <c r="D13" i="115"/>
  <c r="F58" i="93"/>
  <c r="H58" i="93" s="1"/>
  <c r="F57" i="93"/>
  <c r="H57" i="93" s="1"/>
  <c r="F56" i="93"/>
  <c r="H56" i="93" s="1"/>
  <c r="F55" i="93"/>
  <c r="H55" i="93" s="1"/>
  <c r="F54" i="93"/>
  <c r="H54" i="93" s="1"/>
  <c r="F53" i="93"/>
  <c r="H53" i="93" s="1"/>
  <c r="F52" i="93"/>
  <c r="H52" i="93" s="1"/>
  <c r="F51" i="93"/>
  <c r="H51" i="93" s="1"/>
  <c r="F50" i="93"/>
  <c r="H50" i="93" s="1"/>
  <c r="F49" i="93"/>
  <c r="H49" i="93" s="1"/>
  <c r="F48" i="93"/>
  <c r="H48" i="93" s="1"/>
  <c r="F47" i="93"/>
  <c r="H47" i="93" s="1"/>
  <c r="F46" i="93"/>
  <c r="H46" i="93" s="1"/>
  <c r="F45" i="93"/>
  <c r="H45" i="93" s="1"/>
  <c r="F44" i="93"/>
  <c r="H44" i="93" s="1"/>
  <c r="F43" i="93"/>
  <c r="H43" i="93" s="1"/>
  <c r="F42" i="93"/>
  <c r="H42" i="93" s="1"/>
  <c r="F41" i="93"/>
  <c r="H41" i="93" s="1"/>
  <c r="F40" i="93"/>
  <c r="H40" i="93" s="1"/>
  <c r="F39" i="93"/>
  <c r="H39" i="93" s="1"/>
  <c r="F38" i="93"/>
  <c r="H38" i="93" s="1"/>
  <c r="F37" i="93"/>
  <c r="H37" i="93" s="1"/>
  <c r="F36" i="93"/>
  <c r="H36" i="93" s="1"/>
  <c r="F35" i="93"/>
  <c r="H35" i="93" s="1"/>
  <c r="F34" i="93"/>
  <c r="H34" i="93" s="1"/>
  <c r="F33" i="93"/>
  <c r="H33" i="93" s="1"/>
  <c r="F32" i="93"/>
  <c r="H32" i="93" s="1"/>
  <c r="F31" i="93"/>
  <c r="H31" i="93" s="1"/>
  <c r="F30" i="93"/>
  <c r="H30" i="93" s="1"/>
  <c r="F29" i="93"/>
  <c r="H29" i="93" s="1"/>
  <c r="F28" i="93"/>
  <c r="H28" i="93" s="1"/>
  <c r="F27" i="93"/>
  <c r="H27" i="93" s="1"/>
  <c r="F26" i="93"/>
  <c r="H26" i="93" s="1"/>
  <c r="F25" i="93"/>
  <c r="H25" i="93" s="1"/>
  <c r="F24" i="93"/>
  <c r="H24" i="93" s="1"/>
  <c r="F23" i="93"/>
  <c r="H23" i="93" s="1"/>
  <c r="F22" i="93"/>
  <c r="H22" i="93" s="1"/>
  <c r="F21" i="93"/>
  <c r="H21" i="93" s="1"/>
  <c r="F20" i="93"/>
  <c r="H20" i="93" s="1"/>
  <c r="F19" i="93"/>
  <c r="H19" i="93" s="1"/>
  <c r="F18" i="93"/>
  <c r="H18" i="93" s="1"/>
  <c r="F17" i="93"/>
  <c r="H17" i="93" s="1"/>
  <c r="F16" i="93"/>
  <c r="H16" i="93" s="1"/>
  <c r="F15" i="93"/>
  <c r="H15" i="93" s="1"/>
  <c r="F14" i="93"/>
  <c r="H14" i="93" s="1"/>
  <c r="F13" i="93"/>
  <c r="H13" i="93" s="1"/>
  <c r="F12" i="93"/>
  <c r="H12" i="93" s="1"/>
  <c r="F11" i="93"/>
  <c r="H11" i="93" s="1"/>
  <c r="F10" i="93"/>
  <c r="H10" i="93" s="1"/>
  <c r="F9" i="93"/>
  <c r="H9" i="93" s="1"/>
  <c r="F8" i="93"/>
  <c r="H8" i="93" s="1"/>
  <c r="F7" i="93"/>
  <c r="H7" i="93" s="1"/>
  <c r="F6" i="93"/>
  <c r="H6" i="93" s="1"/>
  <c r="F5" i="93"/>
  <c r="H5" i="93" s="1"/>
  <c r="F4" i="93"/>
  <c r="H4" i="93" s="1"/>
  <c r="F3" i="93"/>
  <c r="H3" i="93" s="1"/>
  <c r="F2" i="93"/>
  <c r="H2" i="93" s="1"/>
  <c r="A529" i="93" l="1"/>
  <c r="AE4" i="46" s="1"/>
  <c r="A530" i="93"/>
  <c r="AF4" i="46" s="1"/>
  <c r="A531" i="93"/>
  <c r="D81" i="94" l="1"/>
  <c r="C81" i="94"/>
  <c r="AA80" i="94"/>
  <c r="Z80" i="94"/>
  <c r="Y80" i="94"/>
  <c r="X80" i="94"/>
  <c r="W80" i="94"/>
  <c r="D80" i="94"/>
  <c r="C80" i="94"/>
  <c r="AA79" i="94"/>
  <c r="Z79" i="94"/>
  <c r="Y79" i="94"/>
  <c r="X79" i="94"/>
  <c r="W79" i="94"/>
  <c r="D79" i="94"/>
  <c r="C79" i="94"/>
  <c r="AA78" i="94"/>
  <c r="Z78" i="94"/>
  <c r="Y78" i="94"/>
  <c r="X78" i="94"/>
  <c r="W78" i="94"/>
  <c r="D78" i="94"/>
  <c r="C78" i="94"/>
  <c r="AA77" i="94"/>
  <c r="Z77" i="94"/>
  <c r="Y77" i="94"/>
  <c r="X77" i="94"/>
  <c r="W77" i="94"/>
  <c r="D77" i="94"/>
  <c r="C77" i="94"/>
  <c r="AA76" i="94"/>
  <c r="Z76" i="94"/>
  <c r="Y76" i="94"/>
  <c r="X76" i="94"/>
  <c r="W76" i="94"/>
  <c r="D76" i="94"/>
  <c r="C76" i="94"/>
  <c r="AA75" i="94"/>
  <c r="Z75" i="94"/>
  <c r="Y75" i="94"/>
  <c r="X75" i="94"/>
  <c r="W75" i="94"/>
  <c r="V75" i="94"/>
  <c r="U75" i="94"/>
  <c r="T75" i="94"/>
  <c r="S75" i="94"/>
  <c r="R75" i="94"/>
  <c r="Q75" i="94"/>
  <c r="P75" i="94"/>
  <c r="O75" i="94"/>
  <c r="N75" i="94"/>
  <c r="M75" i="94"/>
  <c r="L75" i="94"/>
  <c r="K75" i="94"/>
  <c r="J75" i="94"/>
  <c r="I75" i="94"/>
  <c r="H75" i="94"/>
  <c r="G75" i="94"/>
  <c r="F75" i="94"/>
  <c r="E75" i="94"/>
  <c r="D75" i="94"/>
  <c r="C75" i="94"/>
  <c r="AC74" i="94"/>
  <c r="AB74" i="94"/>
  <c r="AA74" i="94"/>
  <c r="Z74" i="94"/>
  <c r="Y74" i="94"/>
  <c r="X74" i="94"/>
  <c r="W74" i="94"/>
  <c r="V74" i="94"/>
  <c r="U74" i="94"/>
  <c r="T74" i="94"/>
  <c r="S74" i="94"/>
  <c r="R74" i="94"/>
  <c r="Q74" i="94"/>
  <c r="P74" i="94"/>
  <c r="O74" i="94"/>
  <c r="N74" i="94"/>
  <c r="M74" i="94"/>
  <c r="L74" i="94"/>
  <c r="K74" i="94"/>
  <c r="J74" i="94"/>
  <c r="I74" i="94"/>
  <c r="H74" i="94"/>
  <c r="G74" i="94"/>
  <c r="F74" i="94"/>
  <c r="E74" i="94"/>
  <c r="D74" i="94"/>
  <c r="C74" i="94"/>
  <c r="Q73" i="94"/>
  <c r="P73" i="94"/>
  <c r="O73" i="94"/>
  <c r="N73" i="94"/>
  <c r="M73" i="94"/>
  <c r="L73" i="94"/>
  <c r="K73" i="94"/>
  <c r="J73" i="94"/>
  <c r="I73" i="94"/>
  <c r="H73" i="94"/>
  <c r="G73" i="94"/>
  <c r="F73" i="94"/>
  <c r="E73" i="94"/>
  <c r="D73" i="94"/>
  <c r="C73" i="94"/>
  <c r="A2186" i="93" l="1"/>
  <c r="B11" i="9" s="1"/>
  <c r="A49" i="93" l="1"/>
  <c r="B45" i="79" s="1"/>
  <c r="A68" i="93"/>
  <c r="A62" i="93"/>
  <c r="B58" i="79" s="1"/>
  <c r="A53" i="93"/>
  <c r="B49" i="79" s="1"/>
  <c r="A46" i="93" l="1"/>
  <c r="B42" i="79" s="1"/>
  <c r="BK11" i="106" l="1"/>
  <c r="BI25" i="102" l="1"/>
  <c r="BI28" i="102"/>
  <c r="BJ27" i="102"/>
  <c r="BI27" i="102"/>
  <c r="BJ26" i="102"/>
  <c r="BI26" i="102"/>
  <c r="BI22" i="102"/>
  <c r="BJ28" i="102"/>
  <c r="BJ25" i="102"/>
  <c r="BJ24" i="102"/>
  <c r="BI24" i="102"/>
  <c r="BJ23" i="102"/>
  <c r="BI23" i="102"/>
  <c r="BJ22" i="102"/>
  <c r="AY28" i="102"/>
  <c r="AZ27" i="102"/>
  <c r="AY27" i="102"/>
  <c r="AZ26" i="102"/>
  <c r="AY26" i="102"/>
  <c r="AZ22" i="102"/>
  <c r="AY22" i="102"/>
  <c r="AZ25" i="102"/>
  <c r="AY25" i="102"/>
  <c r="AZ24" i="102"/>
  <c r="AY24" i="102"/>
  <c r="AZ23" i="102"/>
  <c r="AY23" i="102"/>
  <c r="BI29" i="102" l="1"/>
  <c r="BJ29" i="102"/>
  <c r="AY29" i="102"/>
  <c r="AZ28" i="102"/>
  <c r="AZ29" i="102" s="1"/>
  <c r="J23" i="112" l="1"/>
  <c r="E23" i="112"/>
  <c r="D23" i="112"/>
  <c r="C23" i="112"/>
  <c r="J15" i="112"/>
  <c r="EN12" i="81" l="1"/>
  <c r="EM12" i="81"/>
  <c r="A2191" i="93" l="1"/>
  <c r="A2190" i="93"/>
  <c r="F20" i="108" l="1"/>
  <c r="F19" i="108"/>
  <c r="F18" i="108"/>
  <c r="F17" i="108"/>
  <c r="F16" i="108"/>
  <c r="F13" i="108"/>
  <c r="F10" i="108"/>
  <c r="F9" i="108"/>
  <c r="A2135" i="93" l="1"/>
  <c r="A34" i="93" l="1"/>
  <c r="B30" i="79" s="1"/>
  <c r="BJ26" i="107"/>
  <c r="BE26" i="107"/>
  <c r="BJ25" i="107"/>
  <c r="BE25" i="107"/>
  <c r="BI24" i="107"/>
  <c r="BH24" i="107"/>
  <c r="BG24" i="107"/>
  <c r="BF24" i="107"/>
  <c r="BD24" i="107"/>
  <c r="BC24" i="107"/>
  <c r="BB24" i="107"/>
  <c r="BA24" i="107"/>
  <c r="BJ23" i="107"/>
  <c r="BE23" i="107"/>
  <c r="AZ23" i="107"/>
  <c r="BJ22" i="107"/>
  <c r="BE22" i="107"/>
  <c r="AZ22" i="107"/>
  <c r="BI21" i="107"/>
  <c r="BH21" i="107"/>
  <c r="BG21" i="107"/>
  <c r="BF21" i="107"/>
  <c r="BD21" i="107"/>
  <c r="BC21" i="107"/>
  <c r="BB21" i="107"/>
  <c r="BA21" i="107"/>
  <c r="AY21" i="107"/>
  <c r="AX21" i="107"/>
  <c r="AW21" i="107"/>
  <c r="AV21" i="107"/>
  <c r="BJ20" i="107"/>
  <c r="BE20" i="107"/>
  <c r="AZ20" i="107"/>
  <c r="BJ19" i="107"/>
  <c r="BE19" i="107"/>
  <c r="AZ19" i="107"/>
  <c r="BI18" i="107"/>
  <c r="BH18" i="107"/>
  <c r="BG18" i="107"/>
  <c r="BF18" i="107"/>
  <c r="BJ18" i="107" s="1"/>
  <c r="BD18" i="107"/>
  <c r="BC18" i="107"/>
  <c r="BB18" i="107"/>
  <c r="BA18" i="107"/>
  <c r="BE18" i="107" s="1"/>
  <c r="AY18" i="107"/>
  <c r="AX18" i="107"/>
  <c r="AW18" i="107"/>
  <c r="AV18" i="107"/>
  <c r="BJ17" i="107"/>
  <c r="BE17" i="107"/>
  <c r="AZ17" i="107"/>
  <c r="AU17" i="107"/>
  <c r="AP17" i="107"/>
  <c r="AK17" i="107"/>
  <c r="AF17" i="107"/>
  <c r="AA17" i="107"/>
  <c r="V17" i="107"/>
  <c r="Q17" i="107"/>
  <c r="L17" i="107"/>
  <c r="G17" i="107"/>
  <c r="BJ16" i="107"/>
  <c r="BE16" i="107"/>
  <c r="AZ16" i="107"/>
  <c r="AU16" i="107"/>
  <c r="AP16" i="107"/>
  <c r="AK16" i="107"/>
  <c r="AF16" i="107"/>
  <c r="AA16" i="107"/>
  <c r="V16" i="107"/>
  <c r="Q16" i="107"/>
  <c r="L16" i="107"/>
  <c r="G16" i="107"/>
  <c r="BI15" i="107"/>
  <c r="BH15" i="107"/>
  <c r="BG15" i="107"/>
  <c r="BF15" i="107"/>
  <c r="BD15" i="107"/>
  <c r="BC15" i="107"/>
  <c r="BB15" i="107"/>
  <c r="BA15" i="107"/>
  <c r="AY15" i="107"/>
  <c r="AX15" i="107"/>
  <c r="AW15" i="107"/>
  <c r="AV15" i="107"/>
  <c r="AT15" i="107"/>
  <c r="AS15" i="107"/>
  <c r="AR15" i="107"/>
  <c r="AQ15" i="107"/>
  <c r="AO15" i="107"/>
  <c r="AN15" i="107"/>
  <c r="AM15" i="107"/>
  <c r="AL15" i="107"/>
  <c r="AJ15" i="107"/>
  <c r="AI15" i="107"/>
  <c r="AH15" i="107"/>
  <c r="AG15" i="107"/>
  <c r="AE15" i="107"/>
  <c r="AD15" i="107"/>
  <c r="AC15" i="107"/>
  <c r="AB15" i="107"/>
  <c r="Z15" i="107"/>
  <c r="Y15" i="107"/>
  <c r="X15" i="107"/>
  <c r="W15" i="107"/>
  <c r="U15" i="107"/>
  <c r="T15" i="107"/>
  <c r="S15" i="107"/>
  <c r="R15" i="107"/>
  <c r="P15" i="107"/>
  <c r="O15" i="107"/>
  <c r="N15" i="107"/>
  <c r="M15" i="107"/>
  <c r="K15" i="107"/>
  <c r="J15" i="107"/>
  <c r="I15" i="107"/>
  <c r="H15" i="107"/>
  <c r="F15" i="107"/>
  <c r="E15" i="107"/>
  <c r="D15" i="107"/>
  <c r="C15" i="107"/>
  <c r="BJ14" i="107"/>
  <c r="BE14" i="107"/>
  <c r="AZ14" i="107"/>
  <c r="AU14" i="107"/>
  <c r="AP14" i="107"/>
  <c r="AK14" i="107"/>
  <c r="AF14" i="107"/>
  <c r="AA14" i="107"/>
  <c r="V14" i="107"/>
  <c r="Q14" i="107"/>
  <c r="L14" i="107"/>
  <c r="G14" i="107"/>
  <c r="BJ13" i="107"/>
  <c r="BE13" i="107"/>
  <c r="AZ13" i="107"/>
  <c r="AU13" i="107"/>
  <c r="AP13" i="107"/>
  <c r="AK13" i="107"/>
  <c r="AF13" i="107"/>
  <c r="AA13" i="107"/>
  <c r="V13" i="107"/>
  <c r="Q13" i="107"/>
  <c r="L13" i="107"/>
  <c r="G13" i="107"/>
  <c r="BI12" i="107"/>
  <c r="BH12" i="107"/>
  <c r="BG12" i="107"/>
  <c r="BF12" i="107"/>
  <c r="BD12" i="107"/>
  <c r="BC12" i="107"/>
  <c r="BB12" i="107"/>
  <c r="BA12" i="107"/>
  <c r="BE12" i="107" s="1"/>
  <c r="AY12" i="107"/>
  <c r="AX12" i="107"/>
  <c r="AW12" i="107"/>
  <c r="AV12" i="107"/>
  <c r="AT12" i="107"/>
  <c r="AS12" i="107"/>
  <c r="AR12" i="107"/>
  <c r="AQ12" i="107"/>
  <c r="AO12" i="107"/>
  <c r="AN12" i="107"/>
  <c r="AM12" i="107"/>
  <c r="AL12" i="107"/>
  <c r="AJ12" i="107"/>
  <c r="AI12" i="107"/>
  <c r="AH12" i="107"/>
  <c r="AG12" i="107"/>
  <c r="AE12" i="107"/>
  <c r="AD12" i="107"/>
  <c r="AC12" i="107"/>
  <c r="AB12" i="107"/>
  <c r="Z12" i="107"/>
  <c r="Y12" i="107"/>
  <c r="X12" i="107"/>
  <c r="W12" i="107"/>
  <c r="U12" i="107"/>
  <c r="T12" i="107"/>
  <c r="S12" i="107"/>
  <c r="R12" i="107"/>
  <c r="P12" i="107"/>
  <c r="O12" i="107"/>
  <c r="N12" i="107"/>
  <c r="M12" i="107"/>
  <c r="K12" i="107"/>
  <c r="J12" i="107"/>
  <c r="I12" i="107"/>
  <c r="H12" i="107"/>
  <c r="F12" i="107"/>
  <c r="E12" i="107"/>
  <c r="D12" i="107"/>
  <c r="C12" i="107"/>
  <c r="BJ11" i="107"/>
  <c r="BE11" i="107"/>
  <c r="AZ11" i="107"/>
  <c r="AU11" i="107"/>
  <c r="AP11" i="107"/>
  <c r="AK11" i="107"/>
  <c r="AF11" i="107"/>
  <c r="AA11" i="107"/>
  <c r="V11" i="107"/>
  <c r="Q11" i="107"/>
  <c r="L11" i="107"/>
  <c r="G11" i="107"/>
  <c r="BJ10" i="107"/>
  <c r="BE10" i="107"/>
  <c r="AZ10" i="107"/>
  <c r="AU10" i="107"/>
  <c r="AP10" i="107"/>
  <c r="AK10" i="107"/>
  <c r="AF10" i="107"/>
  <c r="AA10" i="107"/>
  <c r="V10" i="107"/>
  <c r="Q10" i="107"/>
  <c r="L10" i="107"/>
  <c r="G10" i="107"/>
  <c r="BI9" i="107"/>
  <c r="BH9" i="107"/>
  <c r="BG9" i="107"/>
  <c r="BF9" i="107"/>
  <c r="BD9" i="107"/>
  <c r="BC9" i="107"/>
  <c r="BB9" i="107"/>
  <c r="BA9" i="107"/>
  <c r="BE9" i="107" s="1"/>
  <c r="AY9" i="107"/>
  <c r="AX9" i="107"/>
  <c r="AW9" i="107"/>
  <c r="AV9" i="107"/>
  <c r="AT9" i="107"/>
  <c r="AS9" i="107"/>
  <c r="AR9" i="107"/>
  <c r="AQ9" i="107"/>
  <c r="AO9" i="107"/>
  <c r="AN9" i="107"/>
  <c r="AM9" i="107"/>
  <c r="AL9" i="107"/>
  <c r="AJ9" i="107"/>
  <c r="AI9" i="107"/>
  <c r="AH9" i="107"/>
  <c r="AG9" i="107"/>
  <c r="AE9" i="107"/>
  <c r="AD9" i="107"/>
  <c r="AC9" i="107"/>
  <c r="AB9" i="107"/>
  <c r="Z9" i="107"/>
  <c r="Y9" i="107"/>
  <c r="X9" i="107"/>
  <c r="W9" i="107"/>
  <c r="U9" i="107"/>
  <c r="T9" i="107"/>
  <c r="S9" i="107"/>
  <c r="R9" i="107"/>
  <c r="P9" i="107"/>
  <c r="O9" i="107"/>
  <c r="N9" i="107"/>
  <c r="M9" i="107"/>
  <c r="K9" i="107"/>
  <c r="J9" i="107"/>
  <c r="I9" i="107"/>
  <c r="H9" i="107"/>
  <c r="F9" i="107"/>
  <c r="E9" i="107"/>
  <c r="D9" i="107"/>
  <c r="C9" i="107"/>
  <c r="BJ8" i="107"/>
  <c r="BE8" i="107"/>
  <c r="AZ8" i="107"/>
  <c r="AU8" i="107"/>
  <c r="AP8" i="107"/>
  <c r="AK8" i="107"/>
  <c r="AF8" i="107"/>
  <c r="AA8" i="107"/>
  <c r="V8" i="107"/>
  <c r="Q8" i="107"/>
  <c r="L8" i="107"/>
  <c r="G8" i="107"/>
  <c r="BJ7" i="107"/>
  <c r="BE7" i="107"/>
  <c r="AZ7" i="107"/>
  <c r="AU7" i="107"/>
  <c r="AP7" i="107"/>
  <c r="AK7" i="107"/>
  <c r="AF7" i="107"/>
  <c r="AA7" i="107"/>
  <c r="V7" i="107"/>
  <c r="Q7" i="107"/>
  <c r="L7" i="107"/>
  <c r="G7" i="107"/>
  <c r="BI6" i="107"/>
  <c r="BH6" i="107"/>
  <c r="BG6" i="107"/>
  <c r="BF6" i="107"/>
  <c r="BD6" i="107"/>
  <c r="BC6" i="107"/>
  <c r="BB6" i="107"/>
  <c r="BA6" i="107"/>
  <c r="BE6" i="107" s="1"/>
  <c r="AY6" i="107"/>
  <c r="AX6" i="107"/>
  <c r="AW6" i="107"/>
  <c r="AV6" i="107"/>
  <c r="AT6" i="107"/>
  <c r="AS6" i="107"/>
  <c r="AR6" i="107"/>
  <c r="AQ6" i="107"/>
  <c r="AO6" i="107"/>
  <c r="AN6" i="107"/>
  <c r="AM6" i="107"/>
  <c r="AL6" i="107"/>
  <c r="AJ6" i="107"/>
  <c r="AI6" i="107"/>
  <c r="AH6" i="107"/>
  <c r="AG6" i="107"/>
  <c r="AE6" i="107"/>
  <c r="AD6" i="107"/>
  <c r="AC6" i="107"/>
  <c r="AB6" i="107"/>
  <c r="Z6" i="107"/>
  <c r="Y6" i="107"/>
  <c r="X6" i="107"/>
  <c r="W6" i="107"/>
  <c r="U6" i="107"/>
  <c r="T6" i="107"/>
  <c r="S6" i="107"/>
  <c r="R6" i="107"/>
  <c r="P6" i="107"/>
  <c r="O6" i="107"/>
  <c r="N6" i="107"/>
  <c r="M6" i="107"/>
  <c r="K6" i="107"/>
  <c r="J6" i="107"/>
  <c r="I6" i="107"/>
  <c r="H6" i="107"/>
  <c r="F6" i="107"/>
  <c r="E6" i="107"/>
  <c r="D6" i="107"/>
  <c r="C6" i="107"/>
  <c r="BJ21" i="107" l="1"/>
  <c r="AU15" i="107"/>
  <c r="Q6" i="107"/>
  <c r="AA9" i="107"/>
  <c r="G6" i="107"/>
  <c r="L9" i="107"/>
  <c r="AF12" i="107"/>
  <c r="AZ21" i="107"/>
  <c r="Q9" i="107"/>
  <c r="AA12" i="107"/>
  <c r="AU12" i="107"/>
  <c r="G15" i="107"/>
  <c r="AK15" i="107"/>
  <c r="AU6" i="107"/>
  <c r="AK12" i="107"/>
  <c r="AZ18" i="107"/>
  <c r="AK6" i="107"/>
  <c r="V9" i="107"/>
  <c r="AF9" i="107"/>
  <c r="AP9" i="107"/>
  <c r="Q15" i="107"/>
  <c r="AA15" i="107"/>
  <c r="AZ15" i="107"/>
  <c r="BE24" i="107"/>
  <c r="AZ9" i="107"/>
  <c r="L12" i="107"/>
  <c r="V12" i="107"/>
  <c r="AA6" i="107"/>
  <c r="G9" i="107"/>
  <c r="BJ9" i="107"/>
  <c r="BE15" i="107"/>
  <c r="BE21" i="107"/>
  <c r="AP12" i="107"/>
  <c r="BJ12" i="107"/>
  <c r="AZ12" i="107"/>
  <c r="L6" i="107"/>
  <c r="V6" i="107"/>
  <c r="AF6" i="107"/>
  <c r="AK9" i="107"/>
  <c r="AU9" i="107"/>
  <c r="L15" i="107"/>
  <c r="V15" i="107"/>
  <c r="AF15" i="107"/>
  <c r="AP6" i="107"/>
  <c r="Q12" i="107"/>
  <c r="AP15" i="107"/>
  <c r="BJ24" i="107"/>
  <c r="G12" i="107"/>
  <c r="AZ6" i="107"/>
  <c r="BJ6" i="107"/>
  <c r="BJ15" i="107"/>
  <c r="G9" i="9"/>
  <c r="G10" i="9"/>
  <c r="AW37" i="105" l="1"/>
  <c r="AV37" i="105"/>
  <c r="AU37" i="105"/>
  <c r="AT37" i="105"/>
  <c r="AS37" i="105"/>
  <c r="AR37" i="105"/>
  <c r="AQ37" i="105"/>
  <c r="AP37" i="105"/>
  <c r="AO37" i="105"/>
  <c r="AN37" i="105"/>
  <c r="AM37" i="105"/>
  <c r="AL37" i="105"/>
  <c r="AK37" i="105"/>
  <c r="AJ37" i="105"/>
  <c r="AI37" i="105"/>
  <c r="AH37" i="105"/>
  <c r="AG37" i="105"/>
  <c r="AF37" i="105"/>
  <c r="AE37" i="105"/>
  <c r="AD37" i="105"/>
  <c r="AC37" i="105"/>
  <c r="AB37" i="105"/>
  <c r="AA37" i="105"/>
  <c r="Z37" i="105"/>
  <c r="Y37" i="105"/>
  <c r="X37" i="105"/>
  <c r="W37" i="105"/>
  <c r="V37" i="105"/>
  <c r="U37" i="105"/>
  <c r="T37" i="105"/>
  <c r="S37" i="105"/>
  <c r="R37" i="105"/>
  <c r="Q37" i="105"/>
  <c r="P37" i="105"/>
  <c r="O37" i="105"/>
  <c r="N37" i="105"/>
  <c r="M37" i="105"/>
  <c r="L37" i="105"/>
  <c r="K37" i="105"/>
  <c r="J37" i="105"/>
  <c r="I37" i="105"/>
  <c r="H37" i="105"/>
  <c r="G37" i="105"/>
  <c r="F37" i="105"/>
  <c r="E37" i="105"/>
  <c r="D37" i="105"/>
  <c r="C37" i="105"/>
  <c r="A2100" i="93"/>
  <c r="A2101" i="93"/>
  <c r="C40" i="73"/>
  <c r="C39" i="73"/>
  <c r="C37" i="73"/>
  <c r="C36" i="73"/>
  <c r="C35" i="73"/>
  <c r="C33" i="73"/>
  <c r="C32" i="73"/>
  <c r="C30" i="73"/>
  <c r="C29" i="73"/>
  <c r="A32" i="93" l="1"/>
  <c r="B28" i="79" s="1"/>
  <c r="A33" i="93"/>
  <c r="B29" i="79" s="1"/>
  <c r="A7" i="93"/>
  <c r="B7" i="79" s="1"/>
  <c r="DL11" i="106"/>
  <c r="DK11" i="106"/>
  <c r="DJ11" i="106"/>
  <c r="DI11" i="106"/>
  <c r="DH11" i="106"/>
  <c r="DG11" i="106"/>
  <c r="DF11" i="106"/>
  <c r="DE11" i="106"/>
  <c r="DD11" i="106"/>
  <c r="DC11" i="106"/>
  <c r="DB11" i="106"/>
  <c r="DA11" i="106"/>
  <c r="CZ11" i="106"/>
  <c r="CY11" i="106"/>
  <c r="CX11" i="106"/>
  <c r="CW11" i="106"/>
  <c r="CV11" i="106"/>
  <c r="CU11" i="106"/>
  <c r="CT11" i="106"/>
  <c r="CS11" i="106"/>
  <c r="CR11" i="106"/>
  <c r="CQ11" i="106"/>
  <c r="CP11" i="106"/>
  <c r="CO11" i="106"/>
  <c r="CN11" i="106"/>
  <c r="CM11" i="106"/>
  <c r="CL11" i="106"/>
  <c r="CK11" i="106"/>
  <c r="CJ11" i="106"/>
  <c r="CI11" i="106"/>
  <c r="CH11" i="106"/>
  <c r="CG11" i="106"/>
  <c r="CF11" i="106"/>
  <c r="CE11" i="106"/>
  <c r="CD11" i="106"/>
  <c r="CC11" i="106"/>
  <c r="CB11" i="106"/>
  <c r="CA11" i="106"/>
  <c r="BY11" i="106"/>
  <c r="BU11" i="106"/>
  <c r="BT11" i="106"/>
  <c r="BS11" i="106"/>
  <c r="BR11" i="106"/>
  <c r="BQ11" i="106"/>
  <c r="BP11" i="106"/>
  <c r="BJ11" i="106"/>
  <c r="BI11" i="106"/>
  <c r="BH11" i="106"/>
  <c r="BG11" i="106"/>
  <c r="BF11" i="106"/>
  <c r="BE11" i="106"/>
  <c r="BD11" i="106"/>
  <c r="BC11" i="106"/>
  <c r="BB11" i="106"/>
  <c r="BA11" i="106"/>
  <c r="AZ11" i="106"/>
  <c r="AY11" i="106"/>
  <c r="AX11" i="106"/>
  <c r="AW11" i="106"/>
  <c r="AV11" i="106"/>
  <c r="AU11" i="106"/>
  <c r="AT11" i="106"/>
  <c r="AS11" i="106"/>
  <c r="AR11" i="106"/>
  <c r="AQ11" i="106"/>
  <c r="AP11" i="106"/>
  <c r="AO11" i="106"/>
  <c r="AN11" i="106"/>
  <c r="AM11" i="106"/>
  <c r="AL11" i="106"/>
  <c r="AK11" i="106"/>
  <c r="AJ11" i="106"/>
  <c r="AI11" i="106"/>
  <c r="AH11" i="106"/>
  <c r="AG11" i="106"/>
  <c r="AF11" i="106"/>
  <c r="AE11" i="106"/>
  <c r="AD11" i="106"/>
  <c r="AC11" i="106"/>
  <c r="AB11" i="106"/>
  <c r="AA11" i="106"/>
  <c r="Z11" i="106"/>
  <c r="Y11" i="106"/>
  <c r="X11" i="106"/>
  <c r="W11" i="106"/>
  <c r="V11" i="106"/>
  <c r="U11" i="106"/>
  <c r="T11" i="106"/>
  <c r="S11" i="106"/>
  <c r="R11" i="106"/>
  <c r="Q11" i="106"/>
  <c r="P11" i="106"/>
  <c r="L11" i="106"/>
  <c r="I11" i="106"/>
  <c r="H11" i="106"/>
  <c r="G11" i="106"/>
  <c r="F11" i="106"/>
  <c r="E11" i="106"/>
  <c r="D11" i="106"/>
  <c r="C11" i="106"/>
  <c r="A1022" i="93" l="1"/>
  <c r="A1023" i="93"/>
  <c r="A2119" i="93" l="1"/>
  <c r="A2120" i="93"/>
  <c r="A2113" i="93"/>
  <c r="A2114" i="93"/>
  <c r="A2115" i="93"/>
  <c r="A2116" i="93"/>
  <c r="A2117" i="93"/>
  <c r="A2111" i="93"/>
  <c r="A2110" i="93"/>
  <c r="A2105" i="93"/>
  <c r="A2106" i="93"/>
  <c r="A2107" i="93"/>
  <c r="A2108" i="93"/>
  <c r="A66" i="93" l="1"/>
  <c r="B62" i="79" s="1"/>
  <c r="A45" i="93"/>
  <c r="B41" i="79" s="1"/>
  <c r="A44" i="93"/>
  <c r="B40" i="79" s="1"/>
  <c r="A43" i="93"/>
  <c r="B39" i="79" s="1"/>
  <c r="A42" i="93"/>
  <c r="B38" i="79" s="1"/>
  <c r="A41" i="93"/>
  <c r="B37" i="79" s="1"/>
  <c r="A40" i="93"/>
  <c r="B36" i="79" s="1"/>
  <c r="A36" i="93"/>
  <c r="B32" i="79" s="1"/>
  <c r="A38" i="93"/>
  <c r="B34" i="79" s="1"/>
  <c r="AF60" i="103" l="1"/>
  <c r="AE60" i="103"/>
  <c r="AD60" i="103"/>
  <c r="AC60" i="103"/>
  <c r="AB60" i="103"/>
  <c r="AA60" i="103"/>
  <c r="Z60" i="103"/>
  <c r="Y60" i="103"/>
  <c r="X60" i="103"/>
  <c r="W60" i="103"/>
  <c r="V60" i="103"/>
  <c r="U60" i="103"/>
  <c r="T60" i="103"/>
  <c r="S60" i="103"/>
  <c r="R60" i="103"/>
  <c r="Q60" i="103"/>
  <c r="P60" i="103"/>
  <c r="O60" i="103"/>
  <c r="N60" i="103"/>
  <c r="M60" i="103"/>
  <c r="L60" i="103"/>
  <c r="K60" i="103"/>
  <c r="J60" i="103"/>
  <c r="I60" i="103"/>
  <c r="H60" i="103"/>
  <c r="G60" i="103"/>
  <c r="F60" i="103"/>
  <c r="E60" i="103"/>
  <c r="D60" i="103"/>
  <c r="C60" i="103"/>
  <c r="AF58" i="103"/>
  <c r="AF53" i="103" s="1"/>
  <c r="AE58" i="103"/>
  <c r="AE53" i="103" s="1"/>
  <c r="AD53" i="103"/>
  <c r="AC53" i="103"/>
  <c r="AB53" i="103"/>
  <c r="AA53" i="103"/>
  <c r="Z53" i="103"/>
  <c r="Y53" i="103"/>
  <c r="X53" i="103"/>
  <c r="W53" i="103"/>
  <c r="V53" i="103"/>
  <c r="U53" i="103"/>
  <c r="T53" i="103"/>
  <c r="S53" i="103"/>
  <c r="R53" i="103"/>
  <c r="Q53" i="103"/>
  <c r="P53" i="103"/>
  <c r="O53" i="103"/>
  <c r="N53" i="103"/>
  <c r="M53" i="103"/>
  <c r="L53" i="103"/>
  <c r="K53" i="103"/>
  <c r="J53" i="103"/>
  <c r="I53" i="103"/>
  <c r="H53" i="103"/>
  <c r="G53" i="103"/>
  <c r="F53" i="103"/>
  <c r="E53" i="103"/>
  <c r="D53" i="103"/>
  <c r="C53" i="103"/>
  <c r="AF51" i="103"/>
  <c r="AE51" i="103"/>
  <c r="AF48" i="103"/>
  <c r="AE48" i="103"/>
  <c r="AD48" i="103"/>
  <c r="AC48" i="103"/>
  <c r="AC44" i="103" s="1"/>
  <c r="AC64" i="103" s="1"/>
  <c r="AB48" i="103"/>
  <c r="AB44" i="103" s="1"/>
  <c r="AB64" i="103" s="1"/>
  <c r="AA48" i="103"/>
  <c r="Z48" i="103"/>
  <c r="Y48" i="103"/>
  <c r="X48" i="103"/>
  <c r="W48" i="103"/>
  <c r="V48" i="103"/>
  <c r="U48" i="103"/>
  <c r="T48" i="103"/>
  <c r="T44" i="103" s="1"/>
  <c r="T64" i="103" s="1"/>
  <c r="S48" i="103"/>
  <c r="R48" i="103"/>
  <c r="Q48" i="103"/>
  <c r="P48" i="103"/>
  <c r="P44" i="103" s="1"/>
  <c r="P64" i="103" s="1"/>
  <c r="O48" i="103"/>
  <c r="O44" i="103" s="1"/>
  <c r="O64" i="103" s="1"/>
  <c r="N48" i="103"/>
  <c r="M48" i="103"/>
  <c r="L48" i="103"/>
  <c r="K48" i="103"/>
  <c r="J48" i="103"/>
  <c r="I48" i="103"/>
  <c r="H48" i="103"/>
  <c r="G48" i="103"/>
  <c r="F48" i="103"/>
  <c r="E48" i="103"/>
  <c r="D48" i="103"/>
  <c r="C48" i="103"/>
  <c r="AF45" i="103"/>
  <c r="AE45" i="103"/>
  <c r="AD45" i="103"/>
  <c r="AD44" i="103" s="1"/>
  <c r="AC45" i="103"/>
  <c r="AB45" i="103"/>
  <c r="AA45" i="103"/>
  <c r="AA44" i="103" s="1"/>
  <c r="Z45" i="103"/>
  <c r="Y45" i="103"/>
  <c r="Y44" i="103" s="1"/>
  <c r="X45" i="103"/>
  <c r="W45" i="103"/>
  <c r="V45" i="103"/>
  <c r="V44" i="103" s="1"/>
  <c r="V64" i="103" s="1"/>
  <c r="U45" i="103"/>
  <c r="U44" i="103" s="1"/>
  <c r="U64" i="103" s="1"/>
  <c r="T45" i="103"/>
  <c r="S45" i="103"/>
  <c r="R45" i="103"/>
  <c r="Q45" i="103"/>
  <c r="P45" i="103"/>
  <c r="O45" i="103"/>
  <c r="N45" i="103"/>
  <c r="N44" i="103" s="1"/>
  <c r="M45" i="103"/>
  <c r="L45" i="103"/>
  <c r="K45" i="103"/>
  <c r="K44" i="103" s="1"/>
  <c r="J45" i="103"/>
  <c r="J44" i="103" s="1"/>
  <c r="J64" i="103" s="1"/>
  <c r="I45" i="103"/>
  <c r="I44" i="103" s="1"/>
  <c r="I64" i="103" s="1"/>
  <c r="H45" i="103"/>
  <c r="G45" i="103"/>
  <c r="F45" i="103"/>
  <c r="F44" i="103" s="1"/>
  <c r="F64" i="103" s="1"/>
  <c r="E45" i="103"/>
  <c r="D45" i="103"/>
  <c r="D44" i="103" s="1"/>
  <c r="D64" i="103" s="1"/>
  <c r="C45" i="103"/>
  <c r="C44" i="103" s="1"/>
  <c r="Z44" i="103"/>
  <c r="X44" i="103"/>
  <c r="X64" i="103" s="1"/>
  <c r="W44" i="103"/>
  <c r="W64" i="103" s="1"/>
  <c r="S44" i="103"/>
  <c r="R44" i="103"/>
  <c r="R64" i="103" s="1"/>
  <c r="M44" i="103"/>
  <c r="L44" i="103"/>
  <c r="L64" i="103" s="1"/>
  <c r="G44" i="103"/>
  <c r="E44" i="103"/>
  <c r="E64" i="103" s="1"/>
  <c r="AF39" i="103"/>
  <c r="AF38" i="103" s="1"/>
  <c r="AE39" i="103"/>
  <c r="AE38" i="103" s="1"/>
  <c r="AD38" i="103"/>
  <c r="AC38" i="103"/>
  <c r="AB38" i="103"/>
  <c r="AA38" i="103"/>
  <c r="Z38" i="103"/>
  <c r="Y38" i="103"/>
  <c r="X38" i="103"/>
  <c r="W38" i="103"/>
  <c r="V38" i="103"/>
  <c r="U38" i="103"/>
  <c r="T38" i="103"/>
  <c r="S38" i="103"/>
  <c r="R38" i="103"/>
  <c r="Q38" i="103"/>
  <c r="P38" i="103"/>
  <c r="O38" i="103"/>
  <c r="N38" i="103"/>
  <c r="M38" i="103"/>
  <c r="L38" i="103"/>
  <c r="K38" i="103"/>
  <c r="J38" i="103"/>
  <c r="I38" i="103"/>
  <c r="H38" i="103"/>
  <c r="G38" i="103"/>
  <c r="F38" i="103"/>
  <c r="E38" i="103"/>
  <c r="D38" i="103"/>
  <c r="C38" i="103"/>
  <c r="AF33" i="103"/>
  <c r="AE33" i="103"/>
  <c r="AD33" i="103"/>
  <c r="AC33" i="103"/>
  <c r="AB33" i="103"/>
  <c r="AA33" i="103"/>
  <c r="Z33" i="103"/>
  <c r="Y33" i="103"/>
  <c r="X33" i="103"/>
  <c r="W33" i="103"/>
  <c r="V33" i="103"/>
  <c r="U33" i="103"/>
  <c r="T33" i="103"/>
  <c r="S33" i="103"/>
  <c r="R33" i="103"/>
  <c r="Q33" i="103"/>
  <c r="P33" i="103"/>
  <c r="O33" i="103"/>
  <c r="N33" i="103"/>
  <c r="M33" i="103"/>
  <c r="L33" i="103"/>
  <c r="K33" i="103"/>
  <c r="J33" i="103"/>
  <c r="I33" i="103"/>
  <c r="H33" i="103"/>
  <c r="G33" i="103"/>
  <c r="F33" i="103"/>
  <c r="E33" i="103"/>
  <c r="D33" i="103"/>
  <c r="C33" i="103"/>
  <c r="AE29" i="103"/>
  <c r="AE28" i="103" s="1"/>
  <c r="N29" i="103"/>
  <c r="N28" i="103" s="1"/>
  <c r="I29" i="103"/>
  <c r="I28" i="103" s="1"/>
  <c r="AF28" i="103"/>
  <c r="AD28" i="103"/>
  <c r="AC28" i="103"/>
  <c r="AB28" i="103"/>
  <c r="AA28" i="103"/>
  <c r="Z28" i="103"/>
  <c r="Y28" i="103"/>
  <c r="X28" i="103"/>
  <c r="W28" i="103"/>
  <c r="V28" i="103"/>
  <c r="U28" i="103"/>
  <c r="T28" i="103"/>
  <c r="S28" i="103"/>
  <c r="R28" i="103"/>
  <c r="Q28" i="103"/>
  <c r="P28" i="103"/>
  <c r="O28" i="103"/>
  <c r="M28" i="103"/>
  <c r="L28" i="103"/>
  <c r="K28" i="103"/>
  <c r="J28" i="103"/>
  <c r="H28" i="103"/>
  <c r="G28" i="103"/>
  <c r="F28" i="103"/>
  <c r="E28" i="103"/>
  <c r="D28" i="103"/>
  <c r="C28" i="103"/>
  <c r="AE27" i="103"/>
  <c r="AE25" i="103" s="1"/>
  <c r="AF25" i="103"/>
  <c r="AD25" i="103"/>
  <c r="AC25" i="103"/>
  <c r="AB25" i="103"/>
  <c r="AA25" i="103"/>
  <c r="Z25" i="103"/>
  <c r="Y25" i="103"/>
  <c r="X25" i="103"/>
  <c r="W25" i="103"/>
  <c r="V25" i="103"/>
  <c r="U25" i="103"/>
  <c r="T25" i="103"/>
  <c r="S25" i="103"/>
  <c r="S42" i="103" s="1"/>
  <c r="R25" i="103"/>
  <c r="Q25" i="103"/>
  <c r="P25" i="103"/>
  <c r="O25" i="103"/>
  <c r="N25" i="103"/>
  <c r="M25" i="103"/>
  <c r="L25" i="103"/>
  <c r="K25" i="103"/>
  <c r="J25" i="103"/>
  <c r="I25" i="103"/>
  <c r="H25" i="103"/>
  <c r="G25" i="103"/>
  <c r="F25" i="103"/>
  <c r="E25" i="103"/>
  <c r="D25" i="103"/>
  <c r="C25" i="103"/>
  <c r="AE23" i="103"/>
  <c r="AE22" i="103" s="1"/>
  <c r="AF22" i="103"/>
  <c r="AD22" i="103"/>
  <c r="AC22" i="103"/>
  <c r="AB22" i="103"/>
  <c r="AB42" i="103" s="1"/>
  <c r="AA22" i="103"/>
  <c r="Z22" i="103"/>
  <c r="Y22" i="103"/>
  <c r="X22" i="103"/>
  <c r="X42" i="103" s="1"/>
  <c r="W22" i="103"/>
  <c r="V22" i="103"/>
  <c r="U22" i="103"/>
  <c r="T22" i="103"/>
  <c r="T42" i="103" s="1"/>
  <c r="S22" i="103"/>
  <c r="R22" i="103"/>
  <c r="Q22" i="103"/>
  <c r="P22" i="103"/>
  <c r="P42" i="103" s="1"/>
  <c r="O22" i="103"/>
  <c r="N22" i="103"/>
  <c r="M22" i="103"/>
  <c r="L22" i="103"/>
  <c r="K22" i="103"/>
  <c r="J22" i="103"/>
  <c r="I22" i="103"/>
  <c r="H22" i="103"/>
  <c r="G22" i="103"/>
  <c r="F22" i="103"/>
  <c r="E22" i="103"/>
  <c r="D22" i="103"/>
  <c r="D42" i="103" s="1"/>
  <c r="C22" i="103"/>
  <c r="U19" i="103"/>
  <c r="T19" i="103"/>
  <c r="O17" i="103"/>
  <c r="O15" i="103" s="1"/>
  <c r="AF15" i="103"/>
  <c r="AE15" i="103"/>
  <c r="AD15" i="103"/>
  <c r="AC15" i="103"/>
  <c r="AB15" i="103"/>
  <c r="AB19" i="103" s="1"/>
  <c r="AA15" i="103"/>
  <c r="Z15" i="103"/>
  <c r="Y15" i="103"/>
  <c r="X15" i="103"/>
  <c r="W15" i="103"/>
  <c r="V15" i="103"/>
  <c r="U15" i="103"/>
  <c r="T15" i="103"/>
  <c r="S15" i="103"/>
  <c r="R15" i="103"/>
  <c r="Q15" i="103"/>
  <c r="P15" i="103"/>
  <c r="N15" i="103"/>
  <c r="M15" i="103"/>
  <c r="L15" i="103"/>
  <c r="K15" i="103"/>
  <c r="J15" i="103"/>
  <c r="I15" i="103"/>
  <c r="H15" i="103"/>
  <c r="G15" i="103"/>
  <c r="F15" i="103"/>
  <c r="E15" i="103"/>
  <c r="D15" i="103"/>
  <c r="C15" i="103"/>
  <c r="AF11" i="103"/>
  <c r="AF19" i="103" s="1"/>
  <c r="AE11" i="103"/>
  <c r="AD11" i="103"/>
  <c r="AC11" i="103"/>
  <c r="AB11" i="103"/>
  <c r="AA11" i="103"/>
  <c r="Z11" i="103"/>
  <c r="Y11" i="103"/>
  <c r="X11" i="103"/>
  <c r="X19" i="103" s="1"/>
  <c r="W11" i="103"/>
  <c r="V11" i="103"/>
  <c r="U11" i="103"/>
  <c r="T11" i="103"/>
  <c r="S11" i="103"/>
  <c r="R11" i="103"/>
  <c r="Q11" i="103"/>
  <c r="P11" i="103"/>
  <c r="O11" i="103"/>
  <c r="N11" i="103"/>
  <c r="M11" i="103"/>
  <c r="L11" i="103"/>
  <c r="K11" i="103"/>
  <c r="J11" i="103"/>
  <c r="I11" i="103"/>
  <c r="H11" i="103"/>
  <c r="G11" i="103"/>
  <c r="F11" i="103"/>
  <c r="E11" i="103"/>
  <c r="D11" i="103"/>
  <c r="C11" i="103"/>
  <c r="AF8" i="103"/>
  <c r="AE8" i="103"/>
  <c r="AD8" i="103"/>
  <c r="AD19" i="103" s="1"/>
  <c r="AC8" i="103"/>
  <c r="AC19" i="103" s="1"/>
  <c r="AB8" i="103"/>
  <c r="AA8" i="103"/>
  <c r="Z8" i="103"/>
  <c r="Y8" i="103"/>
  <c r="Y19" i="103" s="1"/>
  <c r="X8" i="103"/>
  <c r="W8" i="103"/>
  <c r="V8" i="103"/>
  <c r="V19" i="103" s="1"/>
  <c r="U8" i="103"/>
  <c r="T8" i="103"/>
  <c r="S8" i="103"/>
  <c r="R8" i="103"/>
  <c r="R19" i="103" s="1"/>
  <c r="Q8" i="103"/>
  <c r="Q19" i="103" s="1"/>
  <c r="P8" i="103"/>
  <c r="O8" i="103"/>
  <c r="N8" i="103"/>
  <c r="N19" i="103" s="1"/>
  <c r="M8" i="103"/>
  <c r="M19" i="103" s="1"/>
  <c r="L8" i="103"/>
  <c r="L19" i="103" s="1"/>
  <c r="K8" i="103"/>
  <c r="K19" i="103" s="1"/>
  <c r="J8" i="103"/>
  <c r="J19" i="103" s="1"/>
  <c r="I8" i="103"/>
  <c r="H8" i="103"/>
  <c r="G8" i="103"/>
  <c r="F8" i="103"/>
  <c r="F19" i="103" s="1"/>
  <c r="E8" i="103"/>
  <c r="E19" i="103" s="1"/>
  <c r="D8" i="103"/>
  <c r="D19" i="103" s="1"/>
  <c r="C8" i="103"/>
  <c r="C19" i="103" s="1"/>
  <c r="FS33" i="81"/>
  <c r="FS30" i="81"/>
  <c r="FR27" i="81"/>
  <c r="Y42" i="103" l="1"/>
  <c r="Z64" i="103"/>
  <c r="AA64" i="103"/>
  <c r="M42" i="103"/>
  <c r="Z42" i="103"/>
  <c r="O42" i="103"/>
  <c r="Y64" i="103"/>
  <c r="W42" i="103"/>
  <c r="Z19" i="103"/>
  <c r="M64" i="103"/>
  <c r="N64" i="103"/>
  <c r="L42" i="103"/>
  <c r="S19" i="103"/>
  <c r="AE19" i="103"/>
  <c r="G19" i="103"/>
  <c r="E42" i="103"/>
  <c r="Q42" i="103"/>
  <c r="AC42" i="103"/>
  <c r="K42" i="103"/>
  <c r="AE44" i="103"/>
  <c r="AE64" i="103" s="1"/>
  <c r="T70" i="73"/>
  <c r="O19" i="103"/>
  <c r="F42" i="103"/>
  <c r="R42" i="103"/>
  <c r="AD42" i="103"/>
  <c r="AF44" i="103"/>
  <c r="AF64" i="103" s="1"/>
  <c r="AA19" i="103"/>
  <c r="I19" i="103"/>
  <c r="G42" i="103"/>
  <c r="Q44" i="103"/>
  <c r="Q64" i="103" s="1"/>
  <c r="P19" i="103"/>
  <c r="S64" i="103"/>
  <c r="G64" i="103"/>
  <c r="W19" i="103"/>
  <c r="U42" i="103"/>
  <c r="AA42" i="103"/>
  <c r="K64" i="103"/>
  <c r="J42" i="103"/>
  <c r="V42" i="103"/>
  <c r="N72" i="73"/>
  <c r="R73" i="73"/>
  <c r="P74" i="73"/>
  <c r="P73" i="73"/>
  <c r="V72" i="73"/>
  <c r="V70" i="73"/>
  <c r="R72" i="73"/>
  <c r="V74" i="73"/>
  <c r="P72" i="73"/>
  <c r="R70" i="73"/>
  <c r="N74" i="73"/>
  <c r="T72" i="73"/>
  <c r="P71" i="73"/>
  <c r="H44" i="103"/>
  <c r="H64" i="103" s="1"/>
  <c r="H42" i="103"/>
  <c r="C64" i="103"/>
  <c r="T73" i="73"/>
  <c r="T74" i="73"/>
  <c r="R74" i="73"/>
  <c r="H19" i="103"/>
  <c r="AD64" i="103"/>
  <c r="I42" i="103"/>
  <c r="AF42" i="103"/>
  <c r="C42" i="103"/>
  <c r="N42" i="103"/>
  <c r="AE42" i="103"/>
  <c r="N73" i="73"/>
  <c r="V73" i="73"/>
  <c r="R71" i="73"/>
  <c r="T71" i="73"/>
  <c r="V71" i="73"/>
  <c r="P70" i="73"/>
  <c r="T69" i="73" l="1"/>
  <c r="K10" i="115" s="1"/>
  <c r="V69" i="73"/>
  <c r="L10" i="115" s="1"/>
  <c r="P69" i="73"/>
  <c r="I10" i="115" s="1"/>
  <c r="I11" i="115" s="1"/>
  <c r="R69" i="73"/>
  <c r="J10" i="115" s="1"/>
  <c r="J14" i="115"/>
  <c r="I14" i="115"/>
  <c r="L11" i="115" l="1"/>
  <c r="L15" i="115" s="1"/>
  <c r="I13" i="115"/>
  <c r="I16" i="115" s="1"/>
  <c r="I15" i="115"/>
  <c r="A2123" i="93"/>
  <c r="A2122" i="93"/>
  <c r="A2125" i="93"/>
  <c r="L15" i="100"/>
  <c r="K15" i="100"/>
  <c r="I15" i="100"/>
  <c r="AZ21" i="99"/>
  <c r="AY21" i="99"/>
  <c r="AX21" i="99"/>
  <c r="AW21" i="99"/>
  <c r="AV21" i="99"/>
  <c r="AU21" i="99"/>
  <c r="AT21" i="99"/>
  <c r="AS21" i="99"/>
  <c r="AR21" i="99"/>
  <c r="AQ21" i="99"/>
  <c r="AP21" i="99"/>
  <c r="AO21" i="99"/>
  <c r="AN21" i="99"/>
  <c r="AM21" i="99"/>
  <c r="AL21" i="99"/>
  <c r="AK21" i="99"/>
  <c r="AJ21" i="99"/>
  <c r="AI21" i="99"/>
  <c r="AH21" i="99"/>
  <c r="AG21" i="99"/>
  <c r="AF21" i="99"/>
  <c r="AE21" i="99"/>
  <c r="AD21" i="99"/>
  <c r="AC21" i="99"/>
  <c r="AB21" i="99"/>
  <c r="AA21" i="99"/>
  <c r="Z21" i="99"/>
  <c r="Y21" i="99"/>
  <c r="X21" i="99"/>
  <c r="W21" i="99"/>
  <c r="V21" i="99"/>
  <c r="U21" i="99"/>
  <c r="T21" i="99"/>
  <c r="S21" i="99"/>
  <c r="R21" i="99"/>
  <c r="Q21" i="99"/>
  <c r="P21" i="99"/>
  <c r="O21" i="99"/>
  <c r="N21" i="99"/>
  <c r="M21" i="99"/>
  <c r="L21" i="99"/>
  <c r="K21" i="99"/>
  <c r="J21" i="99"/>
  <c r="I21" i="99"/>
  <c r="H21" i="99"/>
  <c r="G21" i="99"/>
  <c r="F21" i="99"/>
  <c r="E21" i="99"/>
  <c r="D21" i="99"/>
  <c r="C21" i="99"/>
  <c r="AZ20" i="99"/>
  <c r="AY20" i="99"/>
  <c r="AX20" i="99"/>
  <c r="AW20" i="99"/>
  <c r="AV20" i="99"/>
  <c r="AU20" i="99"/>
  <c r="AT20" i="99"/>
  <c r="AS20" i="99"/>
  <c r="AR20" i="99"/>
  <c r="AQ20" i="99"/>
  <c r="AP20" i="99"/>
  <c r="AO20" i="99"/>
  <c r="AN20" i="99"/>
  <c r="AM20" i="99"/>
  <c r="AL20" i="99"/>
  <c r="AK20" i="99"/>
  <c r="AJ20" i="99"/>
  <c r="AI20" i="99"/>
  <c r="AH20" i="99"/>
  <c r="AG20" i="99"/>
  <c r="AF20" i="99"/>
  <c r="AE20" i="99"/>
  <c r="AD20" i="99"/>
  <c r="AC20" i="99"/>
  <c r="AB20" i="99"/>
  <c r="AA20" i="99"/>
  <c r="Z20" i="99"/>
  <c r="Y20" i="99"/>
  <c r="X20" i="99"/>
  <c r="W20" i="99"/>
  <c r="V20" i="99"/>
  <c r="U20" i="99"/>
  <c r="T20" i="99"/>
  <c r="S20" i="99"/>
  <c r="R20" i="99"/>
  <c r="Q20" i="99"/>
  <c r="P20" i="99"/>
  <c r="O20" i="99"/>
  <c r="N20" i="99"/>
  <c r="M20" i="99"/>
  <c r="L20" i="99"/>
  <c r="K20" i="99"/>
  <c r="J20" i="99"/>
  <c r="I20" i="99"/>
  <c r="H20" i="99"/>
  <c r="G20" i="99"/>
  <c r="F20" i="99"/>
  <c r="E20" i="99"/>
  <c r="D20" i="99"/>
  <c r="C20" i="99"/>
  <c r="F17" i="99"/>
  <c r="F16" i="99"/>
  <c r="F15" i="99"/>
  <c r="F14" i="99"/>
  <c r="F12" i="99"/>
  <c r="F10" i="99"/>
  <c r="F9" i="99"/>
  <c r="G15" i="98"/>
  <c r="F15" i="98"/>
  <c r="E15" i="98"/>
  <c r="D15" i="98"/>
  <c r="C15" i="98"/>
  <c r="I12" i="98"/>
  <c r="G12" i="98"/>
  <c r="F12" i="98"/>
  <c r="E12" i="98"/>
  <c r="D12" i="98"/>
  <c r="C12" i="98"/>
  <c r="I10" i="98"/>
  <c r="I9" i="98"/>
  <c r="G6" i="98"/>
  <c r="F6" i="98"/>
  <c r="E6" i="98"/>
  <c r="D6" i="98"/>
  <c r="C6" i="98"/>
  <c r="G16" i="97"/>
  <c r="G15" i="97" s="1"/>
  <c r="F16" i="97"/>
  <c r="F15" i="97" s="1"/>
  <c r="E16" i="97"/>
  <c r="E15" i="97" s="1"/>
  <c r="D16" i="97"/>
  <c r="D15" i="97" s="1"/>
  <c r="C16" i="97"/>
  <c r="C15" i="97" s="1"/>
  <c r="I15" i="97"/>
  <c r="G12" i="97"/>
  <c r="F12" i="97"/>
  <c r="E12" i="97"/>
  <c r="D12" i="97"/>
  <c r="C12" i="97"/>
  <c r="G6" i="97"/>
  <c r="F6" i="97"/>
  <c r="E6" i="97"/>
  <c r="D6" i="97"/>
  <c r="C6" i="97"/>
  <c r="G24" i="96"/>
  <c r="F24" i="96"/>
  <c r="E24" i="96"/>
  <c r="D24" i="96"/>
  <c r="C24" i="96"/>
  <c r="G16" i="96"/>
  <c r="G15" i="96" s="1"/>
  <c r="F16" i="96"/>
  <c r="F15" i="96" s="1"/>
  <c r="E16" i="96"/>
  <c r="E15" i="96" s="1"/>
  <c r="D16" i="96"/>
  <c r="D15" i="96" s="1"/>
  <c r="C16" i="96"/>
  <c r="C15" i="96"/>
  <c r="G12" i="96"/>
  <c r="F12" i="96"/>
  <c r="E12" i="96"/>
  <c r="D12" i="96"/>
  <c r="C12" i="96"/>
  <c r="G6" i="96"/>
  <c r="G20" i="96" s="1"/>
  <c r="G19" i="96" s="1"/>
  <c r="G18" i="96" s="1"/>
  <c r="F6" i="96"/>
  <c r="F20" i="96" s="1"/>
  <c r="F19" i="96" s="1"/>
  <c r="F18" i="96" s="1"/>
  <c r="E6" i="96"/>
  <c r="E20" i="96" s="1"/>
  <c r="E19" i="96" s="1"/>
  <c r="E18" i="96" s="1"/>
  <c r="D6" i="96"/>
  <c r="D20" i="96" s="1"/>
  <c r="D19" i="96" s="1"/>
  <c r="D18" i="96" s="1"/>
  <c r="C6" i="96"/>
  <c r="C20" i="96" s="1"/>
  <c r="A2124" i="93"/>
  <c r="L13" i="115" l="1"/>
  <c r="L16" i="115" s="1"/>
  <c r="D20" i="97"/>
  <c r="D19" i="97" s="1"/>
  <c r="D18" i="97" s="1"/>
  <c r="C20" i="97"/>
  <c r="C19" i="97" s="1"/>
  <c r="C18" i="97" s="1"/>
  <c r="E20" i="97"/>
  <c r="E19" i="97" s="1"/>
  <c r="E18" i="97" s="1"/>
  <c r="F20" i="97"/>
  <c r="F19" i="97" s="1"/>
  <c r="F18" i="97" s="1"/>
  <c r="E18" i="98"/>
  <c r="E17" i="98" s="1"/>
  <c r="G20" i="97"/>
  <c r="G19" i="97" s="1"/>
  <c r="G18" i="97" s="1"/>
  <c r="F18" i="98"/>
  <c r="F17" i="98" s="1"/>
  <c r="C18" i="98"/>
  <c r="C17" i="98" s="1"/>
  <c r="D18" i="98"/>
  <c r="D17" i="98" s="1"/>
  <c r="G18" i="98"/>
  <c r="G17" i="98" s="1"/>
  <c r="C18" i="96"/>
  <c r="C19" i="96"/>
  <c r="C2109" i="93"/>
  <c r="A2109" i="93" s="1"/>
  <c r="C2112" i="93"/>
  <c r="A2112" i="93" s="1"/>
  <c r="C2118" i="93"/>
  <c r="A2118" i="93" s="1"/>
  <c r="C2104" i="93"/>
  <c r="A2104" i="93" s="1"/>
  <c r="B13" i="79" l="1"/>
  <c r="B14" i="79"/>
  <c r="B16" i="79"/>
  <c r="B15" i="79"/>
  <c r="A2102" i="93"/>
  <c r="A801" i="93"/>
  <c r="FQ4" i="81" s="1"/>
  <c r="FP42" i="81"/>
  <c r="FN42" i="81"/>
  <c r="FL42" i="81"/>
  <c r="FP37" i="81"/>
  <c r="FP25" i="81" s="1"/>
  <c r="FN37" i="81"/>
  <c r="FL37" i="81"/>
  <c r="FL25" i="81" s="1"/>
  <c r="FN32" i="81"/>
  <c r="FM32" i="81"/>
  <c r="FL32" i="81"/>
  <c r="FN29" i="81"/>
  <c r="FM29" i="81"/>
  <c r="FL29" i="81"/>
  <c r="FO26" i="81"/>
  <c r="FN26" i="81"/>
  <c r="FN25" i="81" s="1"/>
  <c r="FM26" i="81"/>
  <c r="FM25" i="81" s="1"/>
  <c r="FM48" i="81" s="1"/>
  <c r="FL26" i="81"/>
  <c r="FO25" i="81"/>
  <c r="FO19" i="81"/>
  <c r="FN19" i="81"/>
  <c r="FM19" i="81"/>
  <c r="FL19" i="81"/>
  <c r="FO15" i="81"/>
  <c r="FN15" i="81"/>
  <c r="FM15" i="81"/>
  <c r="FL15" i="81"/>
  <c r="FO12" i="81"/>
  <c r="FO11" i="81" s="1"/>
  <c r="FN12" i="81"/>
  <c r="FM12" i="81"/>
  <c r="FL12" i="81"/>
  <c r="FL11" i="81" s="1"/>
  <c r="FM11" i="81"/>
  <c r="FK42" i="81"/>
  <c r="FK25" i="81" s="1"/>
  <c r="FI42" i="81"/>
  <c r="FG42" i="81"/>
  <c r="FK37" i="81"/>
  <c r="FI37" i="81"/>
  <c r="FG37" i="81"/>
  <c r="FI32" i="81"/>
  <c r="FH32" i="81"/>
  <c r="FG32" i="81"/>
  <c r="FI29" i="81"/>
  <c r="FH29" i="81"/>
  <c r="FH25" i="81" s="1"/>
  <c r="FG29" i="81"/>
  <c r="FJ26" i="81"/>
  <c r="FJ25" i="81" s="1"/>
  <c r="FI26" i="81"/>
  <c r="FH26" i="81"/>
  <c r="FG26" i="81"/>
  <c r="FI25" i="81"/>
  <c r="FJ19" i="81"/>
  <c r="FI19" i="81"/>
  <c r="FH19" i="81"/>
  <c r="FG19" i="81"/>
  <c r="FJ15" i="81"/>
  <c r="FI15" i="81"/>
  <c r="FH15" i="81"/>
  <c r="FG15" i="81"/>
  <c r="FJ12" i="81"/>
  <c r="FI12" i="81"/>
  <c r="FI11" i="81" s="1"/>
  <c r="FH12" i="81"/>
  <c r="FH11" i="81" s="1"/>
  <c r="FG12" i="81"/>
  <c r="FJ11" i="81"/>
  <c r="FF42" i="81"/>
  <c r="FD42" i="81"/>
  <c r="FB42" i="81"/>
  <c r="FF37" i="81"/>
  <c r="FF25" i="81" s="1"/>
  <c r="FD37" i="81"/>
  <c r="FB37" i="81"/>
  <c r="FD32" i="81"/>
  <c r="FC32" i="81"/>
  <c r="FB32" i="81"/>
  <c r="FD29" i="81"/>
  <c r="FC29" i="81"/>
  <c r="FC25" i="81" s="1"/>
  <c r="FB29" i="81"/>
  <c r="FE26" i="81"/>
  <c r="FD26" i="81"/>
  <c r="FD25" i="81" s="1"/>
  <c r="FC26" i="81"/>
  <c r="FB26" i="81"/>
  <c r="FE25" i="81"/>
  <c r="FE19" i="81"/>
  <c r="FD19" i="81"/>
  <c r="FC19" i="81"/>
  <c r="FB19" i="81"/>
  <c r="FB11" i="81" s="1"/>
  <c r="FE15" i="81"/>
  <c r="FD15" i="81"/>
  <c r="FC15" i="81"/>
  <c r="FC11" i="81" s="1"/>
  <c r="FB15" i="81"/>
  <c r="FE12" i="81"/>
  <c r="FE11" i="81" s="1"/>
  <c r="FD12" i="81"/>
  <c r="FC12" i="81"/>
  <c r="FB12" i="81"/>
  <c r="FU46" i="81"/>
  <c r="FS46" i="81"/>
  <c r="FR46" i="81"/>
  <c r="FQ46" i="81"/>
  <c r="FR45" i="81"/>
  <c r="FQ45" i="81"/>
  <c r="FU44" i="81"/>
  <c r="FQ44" i="81"/>
  <c r="FU43" i="81"/>
  <c r="FS43" i="81"/>
  <c r="FS42" i="81" s="1"/>
  <c r="FQ43" i="81"/>
  <c r="FA42" i="81"/>
  <c r="EY42" i="81"/>
  <c r="EW42" i="81"/>
  <c r="FU40" i="81"/>
  <c r="FQ40" i="81"/>
  <c r="FS39" i="81"/>
  <c r="FS37" i="81" s="1"/>
  <c r="FQ39" i="81"/>
  <c r="FU38" i="81"/>
  <c r="FQ38" i="81"/>
  <c r="FA37" i="81"/>
  <c r="EY37" i="81"/>
  <c r="EW37" i="81"/>
  <c r="FS32" i="81"/>
  <c r="FR33" i="81"/>
  <c r="FR32" i="81" s="1"/>
  <c r="FQ33" i="81"/>
  <c r="FQ32" i="81" s="1"/>
  <c r="EY32" i="81"/>
  <c r="EX32" i="81"/>
  <c r="EW32" i="81"/>
  <c r="FS31" i="81"/>
  <c r="FS29" i="81" s="1"/>
  <c r="FQ31" i="81"/>
  <c r="FQ30" i="81"/>
  <c r="FQ29" i="81" s="1"/>
  <c r="EY29" i="81"/>
  <c r="EX29" i="81"/>
  <c r="EW29" i="81"/>
  <c r="FT28" i="81"/>
  <c r="FT26" i="81" s="1"/>
  <c r="FT25" i="81" s="1"/>
  <c r="FS28" i="81"/>
  <c r="FR28" i="81"/>
  <c r="FR26" i="81" s="1"/>
  <c r="FQ28" i="81"/>
  <c r="FS27" i="81"/>
  <c r="FQ27" i="81"/>
  <c r="EZ26" i="81"/>
  <c r="EY26" i="81"/>
  <c r="EX26" i="81"/>
  <c r="EW26" i="81"/>
  <c r="EZ25" i="81"/>
  <c r="FT23" i="81"/>
  <c r="FS23" i="81"/>
  <c r="FR23" i="81"/>
  <c r="FQ23" i="81"/>
  <c r="FT22" i="81"/>
  <c r="FS22" i="81"/>
  <c r="FR22" i="81"/>
  <c r="FQ22" i="81"/>
  <c r="FT21" i="81"/>
  <c r="FS21" i="81"/>
  <c r="FR21" i="81"/>
  <c r="FQ21" i="81"/>
  <c r="FT20" i="81"/>
  <c r="FS20" i="81"/>
  <c r="FR20" i="81"/>
  <c r="FQ20" i="81"/>
  <c r="EZ19" i="81"/>
  <c r="EY19" i="81"/>
  <c r="EX19" i="81"/>
  <c r="EW19" i="81"/>
  <c r="FT18" i="81"/>
  <c r="FS18" i="81"/>
  <c r="FR18" i="81"/>
  <c r="FQ18" i="81"/>
  <c r="FT17" i="81"/>
  <c r="FS17" i="81"/>
  <c r="FR17" i="81"/>
  <c r="FQ17" i="81"/>
  <c r="FT16" i="81"/>
  <c r="FS16" i="81"/>
  <c r="FR16" i="81"/>
  <c r="FR15" i="81" s="1"/>
  <c r="FQ16" i="81"/>
  <c r="EZ15" i="81"/>
  <c r="EY15" i="81"/>
  <c r="EX15" i="81"/>
  <c r="EW15" i="81"/>
  <c r="FT14" i="81"/>
  <c r="FS14" i="81"/>
  <c r="FR14" i="81"/>
  <c r="FQ14" i="81"/>
  <c r="FT13" i="81"/>
  <c r="FS13" i="81"/>
  <c r="FR13" i="81"/>
  <c r="FR12" i="81" s="1"/>
  <c r="FQ13" i="81"/>
  <c r="EZ12" i="81"/>
  <c r="EY12" i="81"/>
  <c r="EX12" i="81"/>
  <c r="EW12" i="81"/>
  <c r="FT8" i="81"/>
  <c r="FS8" i="81"/>
  <c r="FR8" i="81"/>
  <c r="FQ8" i="81"/>
  <c r="FP4" i="81"/>
  <c r="FO4" i="81"/>
  <c r="FN4" i="81"/>
  <c r="FM4" i="81"/>
  <c r="FK4" i="81"/>
  <c r="FJ4" i="81"/>
  <c r="FI4" i="81"/>
  <c r="FH4" i="81"/>
  <c r="FF4" i="81"/>
  <c r="FE4" i="81"/>
  <c r="FD4" i="81"/>
  <c r="FC4" i="81"/>
  <c r="FA4" i="81"/>
  <c r="EZ4" i="81"/>
  <c r="EY4" i="81"/>
  <c r="EX4" i="81"/>
  <c r="L8" i="9"/>
  <c r="L7" i="9"/>
  <c r="L14" i="9"/>
  <c r="L13" i="9"/>
  <c r="K12" i="9"/>
  <c r="J12" i="9"/>
  <c r="I12" i="9"/>
  <c r="H12" i="9"/>
  <c r="K6" i="9"/>
  <c r="J6" i="9"/>
  <c r="I6" i="9"/>
  <c r="H6" i="9"/>
  <c r="FP48" i="81" l="1"/>
  <c r="FP10" i="81"/>
  <c r="FP53" i="81" s="1"/>
  <c r="FI48" i="81"/>
  <c r="FI10" i="81"/>
  <c r="FI53" i="81" s="1"/>
  <c r="FK48" i="81"/>
  <c r="FK10" i="81"/>
  <c r="FK53" i="81" s="1"/>
  <c r="FD11" i="81"/>
  <c r="FL48" i="81"/>
  <c r="FL10" i="81"/>
  <c r="FB25" i="81"/>
  <c r="FB48" i="81" s="1"/>
  <c r="FN11" i="81"/>
  <c r="FN10" i="81" s="1"/>
  <c r="FJ48" i="81"/>
  <c r="FJ10" i="81"/>
  <c r="FJ53" i="81" s="1"/>
  <c r="FO48" i="81"/>
  <c r="FO10" i="81"/>
  <c r="FO53" i="81" s="1"/>
  <c r="FG11" i="81"/>
  <c r="FH48" i="81"/>
  <c r="FH10" i="81"/>
  <c r="FH53" i="81" s="1"/>
  <c r="FG25" i="81"/>
  <c r="FC48" i="81"/>
  <c r="FC10" i="81"/>
  <c r="FC53" i="81" s="1"/>
  <c r="FE48" i="81"/>
  <c r="FE10" i="81"/>
  <c r="FE53" i="81" s="1"/>
  <c r="FF48" i="81"/>
  <c r="FF10" i="81"/>
  <c r="FM10" i="81"/>
  <c r="FM53" i="81" s="1"/>
  <c r="EX25" i="81"/>
  <c r="EZ11" i="81"/>
  <c r="EZ48" i="81" s="1"/>
  <c r="EY11" i="81"/>
  <c r="L12" i="9"/>
  <c r="L6" i="9"/>
  <c r="FG48" i="81"/>
  <c r="FQ37" i="81"/>
  <c r="FQ15" i="81"/>
  <c r="FU42" i="81"/>
  <c r="FU25" i="81" s="1"/>
  <c r="FU48" i="81" s="1"/>
  <c r="FT15" i="81"/>
  <c r="FQ12" i="81"/>
  <c r="FQ26" i="81"/>
  <c r="FQ42" i="81"/>
  <c r="FU37" i="81"/>
  <c r="FR25" i="81"/>
  <c r="FT12" i="81"/>
  <c r="FS26" i="81"/>
  <c r="FS25" i="81" s="1"/>
  <c r="EY25" i="81"/>
  <c r="FA25" i="81"/>
  <c r="FA10" i="81" s="1"/>
  <c r="EW25" i="81"/>
  <c r="FQ19" i="81"/>
  <c r="FR19" i="81"/>
  <c r="FS19" i="81"/>
  <c r="FT19" i="81"/>
  <c r="FS15" i="81"/>
  <c r="EX11" i="81"/>
  <c r="FS12" i="81"/>
  <c r="FR11" i="81"/>
  <c r="EW11" i="81"/>
  <c r="FF53" i="81" l="1"/>
  <c r="FL53" i="81"/>
  <c r="FQ25" i="81"/>
  <c r="FD48" i="81"/>
  <c r="FD10" i="81"/>
  <c r="FD53" i="81" s="1"/>
  <c r="FG10" i="81"/>
  <c r="FG53" i="81" s="1"/>
  <c r="FB10" i="81"/>
  <c r="FB53" i="81" s="1"/>
  <c r="FN48" i="81"/>
  <c r="FN53" i="81" s="1"/>
  <c r="FT11" i="81"/>
  <c r="FT48" i="81" s="1"/>
  <c r="FQ11" i="81"/>
  <c r="FA48" i="81"/>
  <c r="FA53" i="81" s="1"/>
  <c r="EY48" i="81"/>
  <c r="EX48" i="81"/>
  <c r="EX10" i="81"/>
  <c r="EY10" i="81"/>
  <c r="EW10" i="81"/>
  <c r="EZ10" i="81"/>
  <c r="FR48" i="81"/>
  <c r="FS11" i="81"/>
  <c r="FS48" i="81" s="1"/>
  <c r="EW48" i="81"/>
  <c r="FQ10" i="81" l="1"/>
  <c r="FQ48" i="81"/>
  <c r="FQ53" i="81" s="1"/>
  <c r="EW53" i="81"/>
  <c r="EX53" i="81"/>
  <c r="EY53" i="81"/>
  <c r="EZ53" i="81"/>
  <c r="A178" i="93"/>
  <c r="Q2" i="90" s="1"/>
  <c r="A177" i="93"/>
  <c r="P2" i="90" s="1"/>
  <c r="A176" i="93"/>
  <c r="O2" i="90" s="1"/>
  <c r="A175" i="93"/>
  <c r="N2" i="90" s="1"/>
  <c r="A174" i="93"/>
  <c r="M2" i="90" s="1"/>
  <c r="L4" i="10" l="1"/>
  <c r="L2" i="118"/>
  <c r="K4" i="10"/>
  <c r="K2" i="118"/>
  <c r="J2" i="118"/>
  <c r="J4" i="10"/>
  <c r="H2" i="118"/>
  <c r="H4" i="10"/>
  <c r="I2" i="118"/>
  <c r="I4" i="10"/>
  <c r="L2" i="117"/>
  <c r="L2" i="116"/>
  <c r="L2" i="115"/>
  <c r="K2" i="117"/>
  <c r="K2" i="116"/>
  <c r="K2" i="115"/>
  <c r="H2" i="116"/>
  <c r="H2" i="117"/>
  <c r="H2" i="115"/>
  <c r="I2" i="116"/>
  <c r="I2" i="117"/>
  <c r="I2" i="115"/>
  <c r="J2" i="116"/>
  <c r="J2" i="117"/>
  <c r="J2" i="115"/>
  <c r="BN5" i="106"/>
  <c r="DO5" i="106" s="1"/>
  <c r="K2" i="109"/>
  <c r="BM5" i="106"/>
  <c r="DN5" i="106" s="1"/>
  <c r="J2" i="109"/>
  <c r="BO5" i="106"/>
  <c r="L2" i="109"/>
  <c r="BK5" i="106"/>
  <c r="DL5" i="106" s="1"/>
  <c r="H2" i="109"/>
  <c r="BL5" i="106"/>
  <c r="DM5" i="106" s="1"/>
  <c r="I2" i="109"/>
  <c r="BL4" i="105"/>
  <c r="BM4" i="105"/>
  <c r="BK4" i="105"/>
  <c r="BN4" i="105"/>
  <c r="BO4" i="105"/>
  <c r="H2" i="52"/>
  <c r="M4" i="73"/>
  <c r="K2" i="52"/>
  <c r="S4" i="73"/>
  <c r="L2" i="52"/>
  <c r="U4" i="73"/>
  <c r="I2" i="52"/>
  <c r="O4" i="73"/>
  <c r="J2" i="52"/>
  <c r="Q4" i="73"/>
  <c r="I2" i="71"/>
  <c r="J2" i="71"/>
  <c r="K2" i="71"/>
  <c r="H2" i="71"/>
  <c r="L2" i="71"/>
  <c r="K2" i="83"/>
  <c r="K2" i="20"/>
  <c r="K2" i="65"/>
  <c r="K4" i="9"/>
  <c r="FL4" i="81"/>
  <c r="H2" i="65"/>
  <c r="EW4" i="81"/>
  <c r="H4" i="9"/>
  <c r="H2" i="83"/>
  <c r="H2" i="20"/>
  <c r="FB4" i="81"/>
  <c r="I4" i="9"/>
  <c r="I2" i="83"/>
  <c r="I2" i="20"/>
  <c r="I2" i="65"/>
  <c r="FG4" i="81"/>
  <c r="J4" i="9"/>
  <c r="J2" i="83"/>
  <c r="J2" i="20"/>
  <c r="J2" i="65"/>
  <c r="L2" i="20"/>
  <c r="L2" i="83"/>
  <c r="L2" i="65"/>
  <c r="L4" i="9"/>
  <c r="D39" i="91" l="1"/>
  <c r="A717" i="93" l="1"/>
  <c r="A705" i="93"/>
  <c r="A633" i="93"/>
  <c r="B12" i="112" s="1"/>
  <c r="B20" i="83" l="1"/>
  <c r="B23" i="113"/>
  <c r="B9" i="66"/>
  <c r="A607" i="93" l="1"/>
  <c r="A608" i="93"/>
  <c r="B44" i="65" l="1"/>
  <c r="B53" i="111"/>
  <c r="B45" i="65"/>
  <c r="B54" i="111"/>
  <c r="F12" i="9"/>
  <c r="G8" i="9"/>
  <c r="G7" i="9"/>
  <c r="F6" i="9"/>
  <c r="EV46" i="81" l="1"/>
  <c r="ET46" i="81"/>
  <c r="ES46" i="81"/>
  <c r="ER46" i="81"/>
  <c r="ES45" i="81"/>
  <c r="ER45" i="81"/>
  <c r="EV44" i="81"/>
  <c r="ER44" i="81"/>
  <c r="EV43" i="81"/>
  <c r="ET43" i="81"/>
  <c r="ET42" i="81" s="1"/>
  <c r="ER43" i="81"/>
  <c r="EQ42" i="81"/>
  <c r="EO42" i="81"/>
  <c r="EM42" i="81"/>
  <c r="EV40" i="81"/>
  <c r="ER40" i="81"/>
  <c r="ET39" i="81"/>
  <c r="ET37" i="81" s="1"/>
  <c r="ER39" i="81"/>
  <c r="EV38" i="81"/>
  <c r="EV37" i="81" s="1"/>
  <c r="ER38" i="81"/>
  <c r="EQ37" i="81"/>
  <c r="EO37" i="81"/>
  <c r="EM37" i="81"/>
  <c r="ET33" i="81"/>
  <c r="ET32" i="81" s="1"/>
  <c r="ES33" i="81"/>
  <c r="ES32" i="81" s="1"/>
  <c r="ER33" i="81"/>
  <c r="ER32" i="81" s="1"/>
  <c r="EO32" i="81"/>
  <c r="EN32" i="81"/>
  <c r="EM32" i="81"/>
  <c r="ET31" i="81"/>
  <c r="ER31" i="81"/>
  <c r="ET30" i="81"/>
  <c r="ET29" i="81" s="1"/>
  <c r="ER30" i="81"/>
  <c r="EO29" i="81"/>
  <c r="EN29" i="81"/>
  <c r="EM29" i="81"/>
  <c r="EU28" i="81"/>
  <c r="ET28" i="81"/>
  <c r="ES28" i="81"/>
  <c r="ER28" i="81"/>
  <c r="ET27" i="81"/>
  <c r="ES27" i="81"/>
  <c r="ES26" i="81" s="1"/>
  <c r="ER27" i="81"/>
  <c r="ER26" i="81" s="1"/>
  <c r="EU26" i="81"/>
  <c r="EU25" i="81" s="1"/>
  <c r="EP26" i="81"/>
  <c r="EP25" i="81" s="1"/>
  <c r="EO26" i="81"/>
  <c r="EN26" i="81"/>
  <c r="EM26" i="81"/>
  <c r="EU23" i="81"/>
  <c r="ET23" i="81"/>
  <c r="ES23" i="81"/>
  <c r="ER23" i="81"/>
  <c r="EU22" i="81"/>
  <c r="ET22" i="81"/>
  <c r="ES22" i="81"/>
  <c r="ER22" i="81"/>
  <c r="EU21" i="81"/>
  <c r="ET21" i="81"/>
  <c r="ES21" i="81"/>
  <c r="ER21" i="81"/>
  <c r="EU20" i="81"/>
  <c r="ET20" i="81"/>
  <c r="ES20" i="81"/>
  <c r="ER20" i="81"/>
  <c r="EP19" i="81"/>
  <c r="EO19" i="81"/>
  <c r="EN19" i="81"/>
  <c r="EM19" i="81"/>
  <c r="EU18" i="81"/>
  <c r="ET18" i="81"/>
  <c r="ES18" i="81"/>
  <c r="ER18" i="81"/>
  <c r="EU17" i="81"/>
  <c r="ET17" i="81"/>
  <c r="ES17" i="81"/>
  <c r="ER17" i="81"/>
  <c r="EU16" i="81"/>
  <c r="ET16" i="81"/>
  <c r="ES16" i="81"/>
  <c r="ER16" i="81"/>
  <c r="EP15" i="81"/>
  <c r="EO15" i="81"/>
  <c r="EN15" i="81"/>
  <c r="EM15" i="81"/>
  <c r="EU14" i="81"/>
  <c r="ET14" i="81"/>
  <c r="ES14" i="81"/>
  <c r="ER14" i="81"/>
  <c r="EU13" i="81"/>
  <c r="ET13" i="81"/>
  <c r="ES13" i="81"/>
  <c r="ER13" i="81"/>
  <c r="EP12" i="81"/>
  <c r="EO12" i="81"/>
  <c r="EU8" i="81"/>
  <c r="ET8" i="81"/>
  <c r="ES8" i="81"/>
  <c r="ER8" i="81"/>
  <c r="EQ4" i="81"/>
  <c r="EP4" i="81"/>
  <c r="EO4" i="81"/>
  <c r="EN4" i="81"/>
  <c r="ER29" i="81" l="1"/>
  <c r="EM11" i="81"/>
  <c r="EN11" i="81"/>
  <c r="EU15" i="81"/>
  <c r="ER15" i="81"/>
  <c r="ET12" i="81"/>
  <c r="EU12" i="81"/>
  <c r="EP11" i="81"/>
  <c r="ER12" i="81"/>
  <c r="EV42" i="81"/>
  <c r="EV25" i="81" s="1"/>
  <c r="EQ25" i="81"/>
  <c r="EQ10" i="81" s="1"/>
  <c r="ER42" i="81"/>
  <c r="ET26" i="81"/>
  <c r="ET25" i="81" s="1"/>
  <c r="ES15" i="81"/>
  <c r="ES12" i="81"/>
  <c r="EU19" i="81"/>
  <c r="ER37" i="81"/>
  <c r="EN25" i="81"/>
  <c r="EM25" i="81"/>
  <c r="EO25" i="81"/>
  <c r="ER19" i="81"/>
  <c r="ER11" i="81" s="1"/>
  <c r="ES19" i="81"/>
  <c r="ET19" i="81"/>
  <c r="ET15" i="81"/>
  <c r="EO11" i="81"/>
  <c r="ES25" i="81"/>
  <c r="EV10" i="81" l="1"/>
  <c r="EV48" i="81"/>
  <c r="EP48" i="81"/>
  <c r="EP10" i="81"/>
  <c r="EP53" i="81" s="1"/>
  <c r="EN10" i="81"/>
  <c r="EO10" i="81"/>
  <c r="EM10" i="81"/>
  <c r="EN53" i="81"/>
  <c r="EQ48" i="81"/>
  <c r="EQ53" i="81" s="1"/>
  <c r="EM48" i="81"/>
  <c r="EN48" i="81"/>
  <c r="EU11" i="81"/>
  <c r="ER25" i="81"/>
  <c r="ER48" i="81" s="1"/>
  <c r="ES11" i="81"/>
  <c r="EO48" i="81"/>
  <c r="ET11" i="81"/>
  <c r="EO53" i="81" l="1"/>
  <c r="EM53" i="81"/>
  <c r="ET48" i="81"/>
  <c r="ET10" i="81"/>
  <c r="ET53" i="81" s="1"/>
  <c r="ES48" i="81"/>
  <c r="ES10" i="81"/>
  <c r="ES53" i="81" s="1"/>
  <c r="EU48" i="81"/>
  <c r="EU10" i="81"/>
  <c r="ER10" i="81"/>
  <c r="ER53" i="81" s="1"/>
  <c r="EV53" i="81"/>
  <c r="A553" i="93"/>
  <c r="AF4" i="108" s="1"/>
  <c r="A554" i="93"/>
  <c r="A555" i="93"/>
  <c r="A556" i="93"/>
  <c r="A1795" i="93"/>
  <c r="F4" i="82" s="1"/>
  <c r="A1794" i="93"/>
  <c r="E4" i="82" s="1"/>
  <c r="A1798" i="93"/>
  <c r="A1793" i="93"/>
  <c r="D4" i="82" s="1"/>
  <c r="A1796" i="93"/>
  <c r="G4" i="82" s="1"/>
  <c r="A1797" i="93"/>
  <c r="A1621" i="93"/>
  <c r="A1622" i="93"/>
  <c r="EU53" i="81" l="1"/>
  <c r="G4" i="64"/>
  <c r="G4" i="62"/>
  <c r="AF4" i="99"/>
  <c r="AF4" i="100"/>
  <c r="A482" i="93"/>
  <c r="B10" i="98" l="1"/>
  <c r="A142" i="93" l="1"/>
  <c r="AE4" i="107" s="1"/>
  <c r="A141" i="93"/>
  <c r="AD4" i="107" s="1"/>
  <c r="A140" i="93"/>
  <c r="AC4" i="107" s="1"/>
  <c r="A139" i="93"/>
  <c r="AB4" i="107" s="1"/>
  <c r="A137" i="93"/>
  <c r="Z4" i="107" s="1"/>
  <c r="A136" i="93"/>
  <c r="Y4" i="107" s="1"/>
  <c r="A135" i="93"/>
  <c r="X4" i="107" s="1"/>
  <c r="A134" i="93"/>
  <c r="W4" i="107" s="1"/>
  <c r="A132" i="93"/>
  <c r="U4" i="107" s="1"/>
  <c r="A131" i="93"/>
  <c r="T4" i="107" s="1"/>
  <c r="A130" i="93"/>
  <c r="S4" i="107" s="1"/>
  <c r="A129" i="93"/>
  <c r="R4" i="107" s="1"/>
  <c r="A114" i="93"/>
  <c r="C4" i="107" s="1"/>
  <c r="A115" i="93"/>
  <c r="D4" i="107" s="1"/>
  <c r="A116" i="93"/>
  <c r="E4" i="107" s="1"/>
  <c r="A117" i="93"/>
  <c r="F4" i="107" s="1"/>
  <c r="A118" i="93"/>
  <c r="G4" i="107" s="1"/>
  <c r="A119" i="93"/>
  <c r="H4" i="107" s="1"/>
  <c r="A120" i="93"/>
  <c r="I4" i="107" s="1"/>
  <c r="A121" i="93"/>
  <c r="J4" i="107" s="1"/>
  <c r="A122" i="93"/>
  <c r="K4" i="107" s="1"/>
  <c r="A123" i="93"/>
  <c r="L4" i="107" s="1"/>
  <c r="A124" i="93"/>
  <c r="M4" i="107" s="1"/>
  <c r="A125" i="93"/>
  <c r="N4" i="107" s="1"/>
  <c r="A126" i="93"/>
  <c r="O4" i="107" s="1"/>
  <c r="A127" i="93"/>
  <c r="P4" i="107" s="1"/>
  <c r="A128" i="93"/>
  <c r="Q4" i="107" s="1"/>
  <c r="A133" i="93"/>
  <c r="V4" i="107" s="1"/>
  <c r="A138" i="93"/>
  <c r="AA4" i="107" s="1"/>
  <c r="A143" i="93"/>
  <c r="AF4" i="107" s="1"/>
  <c r="A144" i="93"/>
  <c r="A145" i="93"/>
  <c r="A146" i="93"/>
  <c r="A147" i="93"/>
  <c r="A148" i="93"/>
  <c r="A149" i="93"/>
  <c r="A150" i="93"/>
  <c r="AM4" i="107" s="1"/>
  <c r="A151" i="93"/>
  <c r="AN4" i="107" s="1"/>
  <c r="A152" i="93"/>
  <c r="AO4" i="107" s="1"/>
  <c r="G52" i="64"/>
  <c r="F52" i="64"/>
  <c r="E52" i="64"/>
  <c r="D52" i="64"/>
  <c r="C52" i="64"/>
  <c r="AL4" i="107" l="1"/>
  <c r="AL4" i="108"/>
  <c r="F4" i="105"/>
  <c r="F5" i="106"/>
  <c r="BS5" i="106" s="1"/>
  <c r="E5" i="106"/>
  <c r="BR5" i="106" s="1"/>
  <c r="E4" i="105"/>
  <c r="X5" i="106"/>
  <c r="CG5" i="106" s="1"/>
  <c r="X4" i="105"/>
  <c r="N5" i="106"/>
  <c r="BY5" i="106" s="1"/>
  <c r="N4" i="105"/>
  <c r="AG5" i="106"/>
  <c r="CN5" i="106" s="1"/>
  <c r="AG4" i="105"/>
  <c r="AF5" i="106"/>
  <c r="AF4" i="105"/>
  <c r="AM4" i="105"/>
  <c r="AM5" i="106"/>
  <c r="CS5" i="106" s="1"/>
  <c r="K5" i="106"/>
  <c r="BW5" i="106" s="1"/>
  <c r="K4" i="105"/>
  <c r="C5" i="106"/>
  <c r="BP5" i="106" s="1"/>
  <c r="C4" i="105"/>
  <c r="AL5" i="106"/>
  <c r="CR5" i="106" s="1"/>
  <c r="AL4" i="105"/>
  <c r="V5" i="106"/>
  <c r="V4" i="105"/>
  <c r="J5" i="106"/>
  <c r="BV5" i="106" s="1"/>
  <c r="J4" i="105"/>
  <c r="R5" i="106"/>
  <c r="CB5" i="106" s="1"/>
  <c r="R4" i="105"/>
  <c r="AB5" i="106"/>
  <c r="CJ5" i="106" s="1"/>
  <c r="AB4" i="105"/>
  <c r="AO4" i="105"/>
  <c r="AO5" i="106"/>
  <c r="CU5" i="106" s="1"/>
  <c r="D5" i="106"/>
  <c r="BQ5" i="106" s="1"/>
  <c r="D4" i="105"/>
  <c r="AK5" i="106"/>
  <c r="AK4" i="105"/>
  <c r="Q5" i="106"/>
  <c r="Q4" i="105"/>
  <c r="I5" i="106"/>
  <c r="BU5" i="106" s="1"/>
  <c r="I4" i="105"/>
  <c r="S5" i="106"/>
  <c r="CC5" i="106" s="1"/>
  <c r="S4" i="105"/>
  <c r="AC5" i="106"/>
  <c r="CK5" i="106" s="1"/>
  <c r="AC4" i="105"/>
  <c r="W4" i="105"/>
  <c r="W5" i="106"/>
  <c r="CF5" i="106" s="1"/>
  <c r="AN5" i="106"/>
  <c r="CT5" i="106" s="1"/>
  <c r="AN4" i="105"/>
  <c r="Y5" i="106"/>
  <c r="CH5" i="106" s="1"/>
  <c r="Y4" i="105"/>
  <c r="AA5" i="106"/>
  <c r="AA4" i="105"/>
  <c r="Z5" i="106"/>
  <c r="CI5" i="106" s="1"/>
  <c r="Z4" i="105"/>
  <c r="AJ5" i="106"/>
  <c r="CQ5" i="106" s="1"/>
  <c r="AJ4" i="105"/>
  <c r="P5" i="106"/>
  <c r="CA5" i="106" s="1"/>
  <c r="P4" i="105"/>
  <c r="H5" i="106"/>
  <c r="BT5" i="106" s="1"/>
  <c r="H4" i="105"/>
  <c r="T5" i="106"/>
  <c r="CD5" i="106" s="1"/>
  <c r="T4" i="105"/>
  <c r="AD4" i="105"/>
  <c r="AD5" i="106"/>
  <c r="CL5" i="106" s="1"/>
  <c r="AH5" i="106"/>
  <c r="CO5" i="106" s="1"/>
  <c r="AH4" i="105"/>
  <c r="M5" i="106"/>
  <c r="BX5" i="106" s="1"/>
  <c r="M4" i="105"/>
  <c r="L5" i="106"/>
  <c r="L4" i="105"/>
  <c r="AI4" i="105"/>
  <c r="AI5" i="106"/>
  <c r="CP5" i="106" s="1"/>
  <c r="O4" i="105"/>
  <c r="O5" i="106"/>
  <c r="BZ5" i="106" s="1"/>
  <c r="G4" i="105"/>
  <c r="G5" i="106"/>
  <c r="U5" i="106"/>
  <c r="CE5" i="106" s="1"/>
  <c r="U4" i="105"/>
  <c r="AE4" i="105"/>
  <c r="AE5" i="106"/>
  <c r="CM5" i="106" s="1"/>
  <c r="AL4" i="100"/>
  <c r="AL4" i="99"/>
  <c r="G51" i="62"/>
  <c r="F51" i="62"/>
  <c r="E51" i="62"/>
  <c r="D51" i="62"/>
  <c r="C51" i="62"/>
  <c r="A1214" i="93"/>
  <c r="B23" i="51" s="1"/>
  <c r="A1070" i="93" l="1"/>
  <c r="A1071" i="93"/>
  <c r="B2" i="60" s="1"/>
  <c r="A1072" i="93"/>
  <c r="A1073" i="93"/>
  <c r="B4" i="60" s="1"/>
  <c r="A1074" i="93"/>
  <c r="B5" i="60" s="1"/>
  <c r="A1075" i="93"/>
  <c r="B6" i="60" s="1"/>
  <c r="A1076" i="93"/>
  <c r="B7" i="60" s="1"/>
  <c r="A1077" i="93"/>
  <c r="B8" i="60" s="1"/>
  <c r="A1078" i="93"/>
  <c r="B9" i="60" s="1"/>
  <c r="A1079" i="93"/>
  <c r="B10" i="60" s="1"/>
  <c r="A1080" i="93"/>
  <c r="B11" i="60" s="1"/>
  <c r="A1081" i="93"/>
  <c r="B12" i="60" s="1"/>
  <c r="A1082" i="93"/>
  <c r="B13" i="60" s="1"/>
  <c r="A1083" i="93"/>
  <c r="A1084" i="93"/>
  <c r="A1085" i="93"/>
  <c r="A1086" i="93"/>
  <c r="B17" i="60" s="1"/>
  <c r="A1087" i="93"/>
  <c r="A1088" i="93"/>
  <c r="B19" i="60" s="1"/>
  <c r="A1089" i="93"/>
  <c r="B20" i="60" s="1"/>
  <c r="A1090" i="93"/>
  <c r="B21" i="60" s="1"/>
  <c r="A1091" i="93"/>
  <c r="B22" i="60" s="1"/>
  <c r="A1092" i="93"/>
  <c r="B23" i="60" s="1"/>
  <c r="A1093" i="93"/>
  <c r="B24" i="60" s="1"/>
  <c r="A1094" i="93"/>
  <c r="B25" i="60" s="1"/>
  <c r="A1095" i="93"/>
  <c r="B26" i="60" s="1"/>
  <c r="A1096" i="93"/>
  <c r="A1097" i="93"/>
  <c r="A1098" i="93"/>
  <c r="B29" i="60" s="1"/>
  <c r="A1099" i="93"/>
  <c r="A1100" i="93"/>
  <c r="B31" i="60" s="1"/>
  <c r="A1101" i="93"/>
  <c r="B32" i="60" s="1"/>
  <c r="A1102" i="93"/>
  <c r="B33" i="60" s="1"/>
  <c r="A1103" i="93"/>
  <c r="B34" i="60" s="1"/>
  <c r="A1104" i="93"/>
  <c r="B35" i="60" s="1"/>
  <c r="A1105" i="93"/>
  <c r="B36" i="60" s="1"/>
  <c r="A1106" i="93"/>
  <c r="B37" i="60" s="1"/>
  <c r="A1107" i="93"/>
  <c r="B38" i="60" s="1"/>
  <c r="A1108" i="93"/>
  <c r="B39" i="60" s="1"/>
  <c r="A1109" i="93"/>
  <c r="B40" i="60" s="1"/>
  <c r="A1110" i="93"/>
  <c r="B41" i="60" s="1"/>
  <c r="A1111" i="93"/>
  <c r="B42" i="60" s="1"/>
  <c r="A1112" i="93"/>
  <c r="A1113" i="93"/>
  <c r="B44" i="60" s="1"/>
  <c r="A1114" i="93"/>
  <c r="A1115" i="93"/>
  <c r="B46" i="60" s="1"/>
  <c r="A1116" i="93"/>
  <c r="B47" i="60" s="1"/>
  <c r="A1117" i="93"/>
  <c r="B48" i="60" s="1"/>
  <c r="A1118" i="93"/>
  <c r="B49" i="60" s="1"/>
  <c r="A1119" i="93"/>
  <c r="B50" i="60" s="1"/>
  <c r="A1120" i="93"/>
  <c r="B51" i="60" s="1"/>
  <c r="A1121" i="93"/>
  <c r="B52" i="60" s="1"/>
  <c r="A1122" i="93"/>
  <c r="A1123" i="93"/>
  <c r="A1124" i="93"/>
  <c r="A1125" i="93"/>
  <c r="A1126" i="93"/>
  <c r="A1127" i="93"/>
  <c r="H4" i="60" s="1"/>
  <c r="A1128" i="93"/>
  <c r="I4" i="60" s="1"/>
  <c r="A1129" i="93"/>
  <c r="J4" i="60" s="1"/>
  <c r="A1130" i="93"/>
  <c r="K4" i="60" s="1"/>
  <c r="A1131" i="93"/>
  <c r="L4" i="60" s="1"/>
  <c r="A1132" i="93"/>
  <c r="M4" i="60" s="1"/>
  <c r="A1133" i="93"/>
  <c r="N4" i="60" s="1"/>
  <c r="A1134" i="93"/>
  <c r="O4" i="60" s="1"/>
  <c r="A1135" i="93"/>
  <c r="P4" i="60" s="1"/>
  <c r="A1136" i="93"/>
  <c r="Q4" i="60" s="1"/>
  <c r="A1137" i="93"/>
  <c r="R4" i="60" s="1"/>
  <c r="A1138" i="93"/>
  <c r="S4" i="60" s="1"/>
  <c r="A1139" i="93"/>
  <c r="T4" i="60" s="1"/>
  <c r="A1140" i="93"/>
  <c r="U4" i="60" s="1"/>
  <c r="A1141" i="93"/>
  <c r="V4" i="60" s="1"/>
  <c r="A1142" i="93"/>
  <c r="W4" i="60" s="1"/>
  <c r="A1143" i="93"/>
  <c r="X4" i="60" s="1"/>
  <c r="A1144" i="93"/>
  <c r="Y4" i="60" s="1"/>
  <c r="A1145" i="93"/>
  <c r="Z4" i="60" s="1"/>
  <c r="A1146" i="93"/>
  <c r="AA4" i="60" s="1"/>
  <c r="A1147" i="93"/>
  <c r="AB4" i="60" s="1"/>
  <c r="A1148" i="93"/>
  <c r="AC4" i="60" s="1"/>
  <c r="A1149" i="93"/>
  <c r="AD4" i="60" s="1"/>
  <c r="A1150" i="93"/>
  <c r="AE4" i="60" s="1"/>
  <c r="A1151" i="93"/>
  <c r="AF4" i="60" s="1"/>
  <c r="A1152" i="93"/>
  <c r="AG4" i="60" s="1"/>
  <c r="A1153" i="93"/>
  <c r="AH4" i="60" s="1"/>
  <c r="A1154" i="93"/>
  <c r="AI4" i="60" s="1"/>
  <c r="A1155" i="93"/>
  <c r="AJ4" i="60" s="1"/>
  <c r="A1156" i="93"/>
  <c r="AK4" i="60" s="1"/>
  <c r="A1157" i="93"/>
  <c r="AL4" i="60" s="1"/>
  <c r="A1158" i="93"/>
  <c r="AM4" i="60" s="1"/>
  <c r="A1159" i="93"/>
  <c r="AN4" i="60" s="1"/>
  <c r="A1160" i="93"/>
  <c r="AO4" i="60" s="1"/>
  <c r="A1161" i="93"/>
  <c r="AP4" i="60" s="1"/>
  <c r="A1162" i="93"/>
  <c r="AQ4" i="60" s="1"/>
  <c r="A1163" i="93"/>
  <c r="AR4" i="60" s="1"/>
  <c r="A1164" i="93"/>
  <c r="AS4" i="60" s="1"/>
  <c r="A1165" i="93"/>
  <c r="AT4" i="60" s="1"/>
  <c r="A1166" i="93"/>
  <c r="AU4" i="60" s="1"/>
  <c r="A1167" i="93"/>
  <c r="AV4" i="60" s="1"/>
  <c r="A1168" i="93"/>
  <c r="AW4" i="60" s="1"/>
  <c r="A1169" i="93"/>
  <c r="AX4" i="60" s="1"/>
  <c r="A1170" i="93"/>
  <c r="AY4" i="60" s="1"/>
  <c r="A1171" i="93"/>
  <c r="AZ4" i="60" s="1"/>
  <c r="A1172" i="93"/>
  <c r="BA4" i="60" s="1"/>
  <c r="A1173" i="93"/>
  <c r="BB4" i="60" s="1"/>
  <c r="A1174" i="93"/>
  <c r="A1175" i="93"/>
  <c r="BD4" i="60" s="1"/>
  <c r="A1176" i="93"/>
  <c r="BE4" i="60" s="1"/>
  <c r="A1177" i="93"/>
  <c r="BF4" i="60" s="1"/>
  <c r="A1178" i="93"/>
  <c r="BG4" i="60" s="1"/>
  <c r="A1179" i="93"/>
  <c r="BH4" i="60" s="1"/>
  <c r="A1180" i="93"/>
  <c r="BI4" i="60" s="1"/>
  <c r="A1181" i="93"/>
  <c r="BJ4" i="60" s="1"/>
  <c r="A1182" i="93"/>
  <c r="BK4" i="60" s="1"/>
  <c r="A1183" i="93"/>
  <c r="BL4" i="60" s="1"/>
  <c r="A1184" i="93"/>
  <c r="BM4" i="60" s="1"/>
  <c r="A1185" i="93"/>
  <c r="BN4" i="60" s="1"/>
  <c r="A1186" i="93"/>
  <c r="BO4" i="60" s="1"/>
  <c r="A1187" i="93"/>
  <c r="BP4" i="60" s="1"/>
  <c r="A1188" i="93"/>
  <c r="BA19" i="60" s="1"/>
  <c r="A1189" i="93"/>
  <c r="BB19" i="60" s="1"/>
  <c r="A1190" i="93"/>
  <c r="BC19" i="60" s="1"/>
  <c r="A1191" i="93"/>
  <c r="BD19" i="60" s="1"/>
  <c r="A1192" i="93"/>
  <c r="A1193" i="93"/>
  <c r="B2" i="51" s="1"/>
  <c r="A1194" i="93"/>
  <c r="A1195" i="93"/>
  <c r="B4" i="51" s="1"/>
  <c r="A1196" i="93"/>
  <c r="A1197" i="93"/>
  <c r="B6" i="51" s="1"/>
  <c r="A1198" i="93"/>
  <c r="B7" i="51" s="1"/>
  <c r="A1199" i="93"/>
  <c r="B8" i="51" s="1"/>
  <c r="A1200" i="93"/>
  <c r="B9" i="51" s="1"/>
  <c r="A1201" i="93"/>
  <c r="B10" i="51" s="1"/>
  <c r="A1202" i="93"/>
  <c r="B11" i="51" s="1"/>
  <c r="A1203" i="93"/>
  <c r="B12" i="51" s="1"/>
  <c r="A1204" i="93"/>
  <c r="B13" i="51" s="1"/>
  <c r="A1205" i="93"/>
  <c r="B14" i="51" s="1"/>
  <c r="A1206" i="93"/>
  <c r="B15" i="51" s="1"/>
  <c r="A1207" i="93"/>
  <c r="B16" i="51" s="1"/>
  <c r="A1208" i="93"/>
  <c r="B17" i="51" s="1"/>
  <c r="A1209" i="93"/>
  <c r="B18" i="51" s="1"/>
  <c r="A1210" i="93"/>
  <c r="B19" i="51" s="1"/>
  <c r="A1211" i="93"/>
  <c r="B20" i="51" s="1"/>
  <c r="A1212" i="93"/>
  <c r="B21" i="51" s="1"/>
  <c r="A1213" i="93"/>
  <c r="B22" i="51" s="1"/>
  <c r="A1215" i="93"/>
  <c r="B24" i="51" s="1"/>
  <c r="A1216" i="93"/>
  <c r="B25" i="51" s="1"/>
  <c r="A1217" i="93"/>
  <c r="AE4" i="51" s="1"/>
  <c r="A1218" i="93"/>
  <c r="AF4" i="51" s="1"/>
  <c r="A1219" i="93"/>
  <c r="A1220" i="93"/>
  <c r="B2" i="42" s="1"/>
  <c r="A1221" i="93"/>
  <c r="A1222" i="93"/>
  <c r="B4" i="42" s="1"/>
  <c r="A1223" i="93"/>
  <c r="A1224" i="93"/>
  <c r="B6" i="42" s="1"/>
  <c r="A1225" i="93"/>
  <c r="B7" i="42" s="1"/>
  <c r="A1226" i="93"/>
  <c r="B8" i="42" s="1"/>
  <c r="A1227" i="93"/>
  <c r="B9" i="42" s="1"/>
  <c r="A1228" i="93"/>
  <c r="B10" i="42" s="1"/>
  <c r="A1229" i="93"/>
  <c r="B11" i="42" s="1"/>
  <c r="A1230" i="93"/>
  <c r="B12" i="42" s="1"/>
  <c r="A1231" i="93"/>
  <c r="B13" i="42" s="1"/>
  <c r="A1232" i="93"/>
  <c r="B14" i="42" s="1"/>
  <c r="A1233" i="93"/>
  <c r="B15" i="42" s="1"/>
  <c r="A1234" i="93"/>
  <c r="B16" i="42" s="1"/>
  <c r="A1235" i="93"/>
  <c r="B17" i="42" s="1"/>
  <c r="A1236" i="93"/>
  <c r="B18" i="42" s="1"/>
  <c r="A1237" i="93"/>
  <c r="B19" i="42" s="1"/>
  <c r="A1238" i="93"/>
  <c r="B20" i="42" s="1"/>
  <c r="A1239" i="93"/>
  <c r="B21" i="42" s="1"/>
  <c r="A1240" i="93"/>
  <c r="B22" i="42" s="1"/>
  <c r="A1241" i="93"/>
  <c r="B23" i="42" s="1"/>
  <c r="A1242" i="93"/>
  <c r="B24" i="42" s="1"/>
  <c r="A1243" i="93"/>
  <c r="B25" i="42" s="1"/>
  <c r="A1244" i="93"/>
  <c r="B26" i="42" s="1"/>
  <c r="A1245" i="93"/>
  <c r="B27" i="42" s="1"/>
  <c r="A1246" i="93"/>
  <c r="B28" i="42" s="1"/>
  <c r="A1247" i="93"/>
  <c r="B29" i="42" s="1"/>
  <c r="A1248" i="93"/>
  <c r="B30" i="42" s="1"/>
  <c r="A1249" i="93"/>
  <c r="B31" i="42" s="1"/>
  <c r="A1250" i="93"/>
  <c r="B32" i="42" s="1"/>
  <c r="A1251" i="93"/>
  <c r="B33" i="42" s="1"/>
  <c r="A1252" i="93"/>
  <c r="B34" i="42" s="1"/>
  <c r="A1253" i="93"/>
  <c r="B35" i="42" s="1"/>
  <c r="A1254" i="93"/>
  <c r="B36" i="42" s="1"/>
  <c r="A1255" i="93"/>
  <c r="B37" i="42" s="1"/>
  <c r="A1256" i="93"/>
  <c r="B38" i="42" s="1"/>
  <c r="A1257" i="93"/>
  <c r="B39" i="42" s="1"/>
  <c r="A1258" i="93"/>
  <c r="B40" i="42" s="1"/>
  <c r="A1259" i="93"/>
  <c r="B41" i="42" s="1"/>
  <c r="A1260" i="93"/>
  <c r="B42" i="42" s="1"/>
  <c r="A1261" i="93"/>
  <c r="B43" i="42" s="1"/>
  <c r="A1262" i="93"/>
  <c r="B44" i="42" s="1"/>
  <c r="A1263" i="93"/>
  <c r="A1264" i="93"/>
  <c r="B2" i="62" s="1"/>
  <c r="A1265" i="93"/>
  <c r="A1266" i="93"/>
  <c r="B4" i="62" s="1"/>
  <c r="A1267" i="93"/>
  <c r="A1268" i="93"/>
  <c r="B6" i="62" s="1"/>
  <c r="A1269" i="93"/>
  <c r="B7" i="62" s="1"/>
  <c r="A1270" i="93"/>
  <c r="B8" i="62" s="1"/>
  <c r="A1271" i="93"/>
  <c r="B9" i="62" s="1"/>
  <c r="A1272" i="93"/>
  <c r="B10" i="62" s="1"/>
  <c r="A1273" i="93"/>
  <c r="B11" i="62" s="1"/>
  <c r="A1274" i="93"/>
  <c r="B12" i="62" s="1"/>
  <c r="A1275" i="93"/>
  <c r="B13" i="62" s="1"/>
  <c r="A1276" i="93"/>
  <c r="B14" i="62" s="1"/>
  <c r="A1277" i="93"/>
  <c r="A1278" i="93"/>
  <c r="B16" i="62" s="1"/>
  <c r="A1279" i="93"/>
  <c r="B17" i="62" s="1"/>
  <c r="A1280" i="93"/>
  <c r="B18" i="62" s="1"/>
  <c r="A1281" i="93"/>
  <c r="B19" i="62" s="1"/>
  <c r="A1282" i="93"/>
  <c r="B20" i="62" s="1"/>
  <c r="A1283" i="93"/>
  <c r="B21" i="62" s="1"/>
  <c r="A1284" i="93"/>
  <c r="B22" i="62" s="1"/>
  <c r="A1285" i="93"/>
  <c r="B23" i="62" s="1"/>
  <c r="A1286" i="93"/>
  <c r="B24" i="62" s="1"/>
  <c r="A1287" i="93"/>
  <c r="B25" i="62" s="1"/>
  <c r="A1288" i="93"/>
  <c r="B26" i="62" s="1"/>
  <c r="A1289" i="93"/>
  <c r="B27" i="62" s="1"/>
  <c r="A1290" i="93"/>
  <c r="B28" i="62" s="1"/>
  <c r="A1291" i="93"/>
  <c r="A1292" i="93"/>
  <c r="B30" i="62" s="1"/>
  <c r="A1293" i="93"/>
  <c r="B31" i="62" s="1"/>
  <c r="A1294" i="93"/>
  <c r="B32" i="62" s="1"/>
  <c r="A1295" i="93"/>
  <c r="B33" i="62" s="1"/>
  <c r="A1296" i="93"/>
  <c r="B34" i="62" s="1"/>
  <c r="A1297" i="93"/>
  <c r="B35" i="62" s="1"/>
  <c r="A1298" i="93"/>
  <c r="B36" i="62" s="1"/>
  <c r="A1299" i="93"/>
  <c r="B37" i="62" s="1"/>
  <c r="A1300" i="93"/>
  <c r="B38" i="62" s="1"/>
  <c r="A1301" i="93"/>
  <c r="B39" i="62" s="1"/>
  <c r="A1302" i="93"/>
  <c r="B40" i="62" s="1"/>
  <c r="A1303" i="93"/>
  <c r="A1304" i="93"/>
  <c r="B42" i="62" s="1"/>
  <c r="A1305" i="93"/>
  <c r="B43" i="62" s="1"/>
  <c r="A1306" i="93"/>
  <c r="B44" i="62" s="1"/>
  <c r="A1307" i="93"/>
  <c r="A1308" i="93"/>
  <c r="B46" i="62" s="1"/>
  <c r="A1309" i="93"/>
  <c r="B47" i="62" s="1"/>
  <c r="A1310" i="93"/>
  <c r="B48" i="62" s="1"/>
  <c r="A1311" i="93"/>
  <c r="A1312" i="93"/>
  <c r="B50" i="62" s="1"/>
  <c r="A1313" i="93"/>
  <c r="B51" i="62" s="1"/>
  <c r="A1314" i="93"/>
  <c r="A1315" i="93"/>
  <c r="B2" i="49" s="1"/>
  <c r="A1316" i="93"/>
  <c r="A1317" i="93"/>
  <c r="B4" i="49" s="1"/>
  <c r="A1318" i="93"/>
  <c r="A1319" i="93"/>
  <c r="B6" i="49" s="1"/>
  <c r="A1320" i="93"/>
  <c r="B7" i="49" s="1"/>
  <c r="A1321" i="93"/>
  <c r="B8" i="49" s="1"/>
  <c r="A1322" i="93"/>
  <c r="B9" i="49" s="1"/>
  <c r="A1323" i="93"/>
  <c r="B10" i="49" s="1"/>
  <c r="A1324" i="93"/>
  <c r="B11" i="49" s="1"/>
  <c r="A1325" i="93"/>
  <c r="B12" i="49" s="1"/>
  <c r="A1326" i="93"/>
  <c r="B13" i="49" s="1"/>
  <c r="A1327" i="93"/>
  <c r="B14" i="49" s="1"/>
  <c r="A1328" i="93"/>
  <c r="B15" i="49" s="1"/>
  <c r="A1329" i="93"/>
  <c r="B16" i="49" s="1"/>
  <c r="A1330" i="93"/>
  <c r="B17" i="49" s="1"/>
  <c r="A1331" i="93"/>
  <c r="B18" i="49" s="1"/>
  <c r="A1332" i="93"/>
  <c r="B19" i="49" s="1"/>
  <c r="A1333" i="93"/>
  <c r="B20" i="49" s="1"/>
  <c r="A1334" i="93"/>
  <c r="B21" i="49" s="1"/>
  <c r="A1335" i="93"/>
  <c r="B22" i="49" s="1"/>
  <c r="A1336" i="93"/>
  <c r="B23" i="49" s="1"/>
  <c r="A1337" i="93"/>
  <c r="B24" i="49" s="1"/>
  <c r="A1338" i="93"/>
  <c r="B25" i="49" s="1"/>
  <c r="A1339" i="93"/>
  <c r="B26" i="49" s="1"/>
  <c r="A1340" i="93"/>
  <c r="B27" i="49" s="1"/>
  <c r="A1341" i="93"/>
  <c r="B28" i="49" s="1"/>
  <c r="A1342" i="93"/>
  <c r="B29" i="49" s="1"/>
  <c r="A1343" i="93"/>
  <c r="B30" i="49" s="1"/>
  <c r="A1344" i="93"/>
  <c r="B31" i="49" s="1"/>
  <c r="A1345" i="93"/>
  <c r="B32" i="49" s="1"/>
  <c r="A1346" i="93"/>
  <c r="B33" i="49" s="1"/>
  <c r="A1347" i="93"/>
  <c r="B34" i="49" s="1"/>
  <c r="A1348" i="93"/>
  <c r="B35" i="49" s="1"/>
  <c r="A1349" i="93"/>
  <c r="B36" i="49" s="1"/>
  <c r="A1350" i="93"/>
  <c r="B37" i="49" s="1"/>
  <c r="A1351" i="93"/>
  <c r="B38" i="49" s="1"/>
  <c r="A1352" i="93"/>
  <c r="B39" i="49" s="1"/>
  <c r="A1353" i="93"/>
  <c r="B40" i="49" s="1"/>
  <c r="A1354" i="93"/>
  <c r="B41" i="49" s="1"/>
  <c r="A1355" i="93"/>
  <c r="B42" i="49" s="1"/>
  <c r="A1356" i="93"/>
  <c r="B43" i="49" s="1"/>
  <c r="A1357" i="93"/>
  <c r="B44" i="49" s="1"/>
  <c r="A1358" i="93"/>
  <c r="B45" i="49" s="1"/>
  <c r="A1359" i="93"/>
  <c r="B46" i="49" s="1"/>
  <c r="A1360" i="93"/>
  <c r="B47" i="49" s="1"/>
  <c r="A1361" i="93"/>
  <c r="B48" i="49" s="1"/>
  <c r="A1362" i="93"/>
  <c r="B49" i="49" s="1"/>
  <c r="A1363" i="93"/>
  <c r="B50" i="49" s="1"/>
  <c r="A1364" i="93"/>
  <c r="B51" i="49" s="1"/>
  <c r="A1365" i="93"/>
  <c r="B52" i="49" s="1"/>
  <c r="A1366" i="93"/>
  <c r="A1367" i="93"/>
  <c r="B2" i="59" s="1"/>
  <c r="A1368" i="93"/>
  <c r="A1369" i="93"/>
  <c r="B4" i="59" s="1"/>
  <c r="A1370" i="93"/>
  <c r="A1371" i="93"/>
  <c r="B6" i="59" s="1"/>
  <c r="A1372" i="93"/>
  <c r="B7" i="59" s="1"/>
  <c r="A1373" i="93"/>
  <c r="B8" i="59" s="1"/>
  <c r="A1374" i="93"/>
  <c r="B9" i="59" s="1"/>
  <c r="A1375" i="93"/>
  <c r="B10" i="59" s="1"/>
  <c r="A1376" i="93"/>
  <c r="B11" i="59" s="1"/>
  <c r="A1377" i="93"/>
  <c r="B12" i="59" s="1"/>
  <c r="A1378" i="93"/>
  <c r="B13" i="59" s="1"/>
  <c r="A1379" i="93"/>
  <c r="B14" i="59" s="1"/>
  <c r="A1380" i="93"/>
  <c r="B15" i="59" s="1"/>
  <c r="A1381" i="93"/>
  <c r="B16" i="59" s="1"/>
  <c r="A1382" i="93"/>
  <c r="B17" i="59" s="1"/>
  <c r="A1383" i="93"/>
  <c r="B18" i="59" s="1"/>
  <c r="A1384" i="93"/>
  <c r="B19" i="59" s="1"/>
  <c r="A1385" i="93"/>
  <c r="B20" i="59" s="1"/>
  <c r="A1386" i="93"/>
  <c r="B21" i="59" s="1"/>
  <c r="A1387" i="93"/>
  <c r="B22" i="59" s="1"/>
  <c r="A1388" i="93"/>
  <c r="B23" i="59" s="1"/>
  <c r="A1389" i="93"/>
  <c r="B24" i="59" s="1"/>
  <c r="A1390" i="93"/>
  <c r="B25" i="59" s="1"/>
  <c r="A1391" i="93"/>
  <c r="B26" i="59" s="1"/>
  <c r="A1392" i="93"/>
  <c r="B27" i="59" s="1"/>
  <c r="A1393" i="93"/>
  <c r="B28" i="59" s="1"/>
  <c r="A1394" i="93"/>
  <c r="B29" i="59" s="1"/>
  <c r="A1395" i="93"/>
  <c r="B30" i="59" s="1"/>
  <c r="A1396" i="93"/>
  <c r="B31" i="59" s="1"/>
  <c r="A1397" i="93"/>
  <c r="B32" i="59" s="1"/>
  <c r="A1398" i="93"/>
  <c r="B33" i="59" s="1"/>
  <c r="A1399" i="93"/>
  <c r="B34" i="59" s="1"/>
  <c r="A1400" i="93"/>
  <c r="B35" i="59" s="1"/>
  <c r="A1401" i="93"/>
  <c r="B36" i="59" s="1"/>
  <c r="A1402" i="93"/>
  <c r="B37" i="59" s="1"/>
  <c r="A1403" i="93"/>
  <c r="B38" i="59" s="1"/>
  <c r="A1404" i="93"/>
  <c r="B39" i="59" s="1"/>
  <c r="A1405" i="93"/>
  <c r="B40" i="59" s="1"/>
  <c r="A1406" i="93"/>
  <c r="B41" i="59" s="1"/>
  <c r="A1407" i="93"/>
  <c r="B42" i="59" s="1"/>
  <c r="A1408" i="93"/>
  <c r="B43" i="59" s="1"/>
  <c r="A1409" i="93"/>
  <c r="B44" i="59" s="1"/>
  <c r="A1410" i="93"/>
  <c r="B45" i="59" s="1"/>
  <c r="A1411" i="93"/>
  <c r="B46" i="59" s="1"/>
  <c r="A1412" i="93"/>
  <c r="A1413" i="93"/>
  <c r="B2" i="61" s="1"/>
  <c r="A1414" i="93"/>
  <c r="A1415" i="93"/>
  <c r="B4" i="61" s="1"/>
  <c r="A1416" i="93"/>
  <c r="A1417" i="93"/>
  <c r="B6" i="61" s="1"/>
  <c r="A1418" i="93"/>
  <c r="B7" i="61" s="1"/>
  <c r="A1419" i="93"/>
  <c r="B8" i="61" s="1"/>
  <c r="A1420" i="93"/>
  <c r="B9" i="61" s="1"/>
  <c r="A1421" i="93"/>
  <c r="B10" i="61" s="1"/>
  <c r="A1422" i="93"/>
  <c r="B11" i="61" s="1"/>
  <c r="A1423" i="93"/>
  <c r="B12" i="61" s="1"/>
  <c r="A1424" i="93"/>
  <c r="B13" i="61" s="1"/>
  <c r="A1425" i="93"/>
  <c r="B14" i="61" s="1"/>
  <c r="A1426" i="93"/>
  <c r="B15" i="61" s="1"/>
  <c r="A1427" i="93"/>
  <c r="B16" i="61" s="1"/>
  <c r="A1428" i="93"/>
  <c r="B17" i="61" s="1"/>
  <c r="A1429" i="93"/>
  <c r="B18" i="61" s="1"/>
  <c r="A1430" i="93"/>
  <c r="B19" i="61" s="1"/>
  <c r="A1431" i="93"/>
  <c r="B20" i="61" s="1"/>
  <c r="A1432" i="93"/>
  <c r="B21" i="61" s="1"/>
  <c r="A1433" i="93"/>
  <c r="B22" i="61" s="1"/>
  <c r="A1434" i="93"/>
  <c r="B23" i="61" s="1"/>
  <c r="A1435" i="93"/>
  <c r="B24" i="61" s="1"/>
  <c r="A1436" i="93"/>
  <c r="B25" i="61" s="1"/>
  <c r="A1437" i="93"/>
  <c r="B26" i="61" s="1"/>
  <c r="A1438" i="93"/>
  <c r="B27" i="61" s="1"/>
  <c r="A1439" i="93"/>
  <c r="B28" i="61" s="1"/>
  <c r="A1440" i="93"/>
  <c r="B29" i="61" s="1"/>
  <c r="A1441" i="93"/>
  <c r="B30" i="61" s="1"/>
  <c r="A1442" i="93"/>
  <c r="B31" i="61" s="1"/>
  <c r="A1443" i="93"/>
  <c r="B32" i="61" s="1"/>
  <c r="A1444" i="93"/>
  <c r="B33" i="61" s="1"/>
  <c r="A1445" i="93"/>
  <c r="B34" i="61" s="1"/>
  <c r="A1446" i="93"/>
  <c r="B35" i="61" s="1"/>
  <c r="A1447" i="93"/>
  <c r="B36" i="61" s="1"/>
  <c r="A1448" i="93"/>
  <c r="B37" i="61" s="1"/>
  <c r="A1449" i="93"/>
  <c r="B38" i="61" s="1"/>
  <c r="A1450" i="93"/>
  <c r="B39" i="61" s="1"/>
  <c r="A1451" i="93"/>
  <c r="B40" i="61" s="1"/>
  <c r="A1452" i="93"/>
  <c r="B41" i="61" s="1"/>
  <c r="A1453" i="93"/>
  <c r="B42" i="61" s="1"/>
  <c r="A1454" i="93"/>
  <c r="B43" i="61" s="1"/>
  <c r="A1455" i="93"/>
  <c r="B44" i="61" s="1"/>
  <c r="A1456" i="93"/>
  <c r="B45" i="61" s="1"/>
  <c r="A1457" i="93"/>
  <c r="B46" i="61" s="1"/>
  <c r="A1458" i="93"/>
  <c r="B47" i="61" s="1"/>
  <c r="A1459" i="93"/>
  <c r="B48" i="61" s="1"/>
  <c r="A1460" i="93"/>
  <c r="B49" i="61" s="1"/>
  <c r="A1461" i="93"/>
  <c r="B50" i="61" s="1"/>
  <c r="A1462" i="93"/>
  <c r="A1463" i="93"/>
  <c r="B2" i="50" s="1"/>
  <c r="A1464" i="93"/>
  <c r="A1465" i="93"/>
  <c r="B4" i="50" s="1"/>
  <c r="A1466" i="93"/>
  <c r="A1467" i="93"/>
  <c r="B6" i="50" s="1"/>
  <c r="A1468" i="93"/>
  <c r="B7" i="50" s="1"/>
  <c r="A1469" i="93"/>
  <c r="B8" i="50" s="1"/>
  <c r="A1470" i="93"/>
  <c r="B9" i="50" s="1"/>
  <c r="A1471" i="93"/>
  <c r="B10" i="50" s="1"/>
  <c r="A1472" i="93"/>
  <c r="B11" i="50" s="1"/>
  <c r="A1473" i="93"/>
  <c r="B12" i="50" s="1"/>
  <c r="A1474" i="93"/>
  <c r="B13" i="50" s="1"/>
  <c r="A1475" i="93"/>
  <c r="B14" i="50" s="1"/>
  <c r="A1476" i="93"/>
  <c r="B15" i="50" s="1"/>
  <c r="A1477" i="93"/>
  <c r="B16" i="50" s="1"/>
  <c r="A1478" i="93"/>
  <c r="B17" i="50" s="1"/>
  <c r="A1479" i="93"/>
  <c r="B18" i="50" s="1"/>
  <c r="A1480" i="93"/>
  <c r="B19" i="50" s="1"/>
  <c r="A1481" i="93"/>
  <c r="B20" i="50" s="1"/>
  <c r="A1482" i="93"/>
  <c r="B21" i="50" s="1"/>
  <c r="A1483" i="93"/>
  <c r="B22" i="50" s="1"/>
  <c r="A1484" i="93"/>
  <c r="B23" i="50" s="1"/>
  <c r="A1485" i="93"/>
  <c r="B24" i="50" s="1"/>
  <c r="A1486" i="93"/>
  <c r="B25" i="50" s="1"/>
  <c r="A1487" i="93"/>
  <c r="B26" i="50" s="1"/>
  <c r="A1488" i="93"/>
  <c r="B27" i="50" s="1"/>
  <c r="A1489" i="93"/>
  <c r="B28" i="50" s="1"/>
  <c r="A1490" i="93"/>
  <c r="B29" i="50" s="1"/>
  <c r="A1491" i="93"/>
  <c r="B30" i="50" s="1"/>
  <c r="A1492" i="93"/>
  <c r="B31" i="50" s="1"/>
  <c r="A1493" i="93"/>
  <c r="B32" i="50" s="1"/>
  <c r="A1494" i="93"/>
  <c r="B33" i="50" s="1"/>
  <c r="A1495" i="93"/>
  <c r="B34" i="50" s="1"/>
  <c r="A1496" i="93"/>
  <c r="B35" i="50" s="1"/>
  <c r="A1497" i="93"/>
  <c r="B36" i="50" s="1"/>
  <c r="A1498" i="93"/>
  <c r="B37" i="50" s="1"/>
  <c r="A1499" i="93"/>
  <c r="B38" i="50" s="1"/>
  <c r="A1500" i="93"/>
  <c r="B39" i="50" s="1"/>
  <c r="A1501" i="93"/>
  <c r="B40" i="50" s="1"/>
  <c r="A1502" i="93"/>
  <c r="B41" i="50" s="1"/>
  <c r="A1503" i="93"/>
  <c r="B42" i="50" s="1"/>
  <c r="A1504" i="93"/>
  <c r="B43" i="50" s="1"/>
  <c r="A1505" i="93"/>
  <c r="B44" i="50" s="1"/>
  <c r="A1506" i="93"/>
  <c r="B45" i="50" s="1"/>
  <c r="A1507" i="93"/>
  <c r="B46" i="50" s="1"/>
  <c r="A1508" i="93"/>
  <c r="B47" i="50" s="1"/>
  <c r="A1509" i="93"/>
  <c r="A1510" i="93"/>
  <c r="B49" i="50" s="1"/>
  <c r="A1511" i="93"/>
  <c r="B50" i="50" s="1"/>
  <c r="A1512" i="93"/>
  <c r="B51" i="50" s="1"/>
  <c r="A1513" i="93"/>
  <c r="A1514" i="93"/>
  <c r="B53" i="50" s="1"/>
  <c r="A1515" i="93"/>
  <c r="B54" i="50" s="1"/>
  <c r="A1516" i="93"/>
  <c r="A1517" i="93"/>
  <c r="B2" i="58" s="1"/>
  <c r="A1518" i="93"/>
  <c r="A1519" i="93"/>
  <c r="B4" i="58" s="1"/>
  <c r="A1520" i="93"/>
  <c r="A1521" i="93"/>
  <c r="B6" i="58" s="1"/>
  <c r="A1522" i="93"/>
  <c r="B7" i="58" s="1"/>
  <c r="A1523" i="93"/>
  <c r="B8" i="58" s="1"/>
  <c r="A1524" i="93"/>
  <c r="B9" i="58" s="1"/>
  <c r="A1525" i="93"/>
  <c r="B10" i="58" s="1"/>
  <c r="A1526" i="93"/>
  <c r="B11" i="58" s="1"/>
  <c r="A1527" i="93"/>
  <c r="B12" i="58" s="1"/>
  <c r="A1528" i="93"/>
  <c r="B13" i="58" s="1"/>
  <c r="A1529" i="93"/>
  <c r="B14" i="58" s="1"/>
  <c r="A1530" i="93"/>
  <c r="B15" i="58" s="1"/>
  <c r="A1531" i="93"/>
  <c r="B16" i="58" s="1"/>
  <c r="A1532" i="93"/>
  <c r="B17" i="58" s="1"/>
  <c r="A1533" i="93"/>
  <c r="B18" i="58" s="1"/>
  <c r="A1534" i="93"/>
  <c r="B19" i="58" s="1"/>
  <c r="A1535" i="93"/>
  <c r="B20" i="58" s="1"/>
  <c r="A1536" i="93"/>
  <c r="B21" i="58" s="1"/>
  <c r="A1537" i="93"/>
  <c r="B22" i="58" s="1"/>
  <c r="A1538" i="93"/>
  <c r="B23" i="58" s="1"/>
  <c r="A1539" i="93"/>
  <c r="B24" i="58" s="1"/>
  <c r="A1540" i="93"/>
  <c r="B25" i="58" s="1"/>
  <c r="A1541" i="93"/>
  <c r="B26" i="58" s="1"/>
  <c r="A1542" i="93"/>
  <c r="B27" i="58" s="1"/>
  <c r="A1543" i="93"/>
  <c r="B28" i="58" s="1"/>
  <c r="A1544" i="93"/>
  <c r="B29" i="58" s="1"/>
  <c r="A1545" i="93"/>
  <c r="B30" i="58" s="1"/>
  <c r="A1546" i="93"/>
  <c r="B31" i="58" s="1"/>
  <c r="A1547" i="93"/>
  <c r="B32" i="58" s="1"/>
  <c r="A1548" i="93"/>
  <c r="B33" i="58" s="1"/>
  <c r="A1549" i="93"/>
  <c r="B34" i="58" s="1"/>
  <c r="A1550" i="93"/>
  <c r="B35" i="58" s="1"/>
  <c r="A1551" i="93"/>
  <c r="B36" i="58" s="1"/>
  <c r="A1552" i="93"/>
  <c r="B37" i="58" s="1"/>
  <c r="A1553" i="93"/>
  <c r="B38" i="58" s="1"/>
  <c r="A1554" i="93"/>
  <c r="B39" i="58" s="1"/>
  <c r="A1555" i="93"/>
  <c r="B40" i="58" s="1"/>
  <c r="A1556" i="93"/>
  <c r="B41" i="58" s="1"/>
  <c r="A1557" i="93"/>
  <c r="B42" i="58" s="1"/>
  <c r="A1558" i="93"/>
  <c r="B43" i="58" s="1"/>
  <c r="A1559" i="93"/>
  <c r="B44" i="58" s="1"/>
  <c r="A1560" i="93"/>
  <c r="B45" i="58" s="1"/>
  <c r="A1561" i="93"/>
  <c r="B46" i="58" s="1"/>
  <c r="A1562" i="93"/>
  <c r="A1563" i="93"/>
  <c r="B48" i="58" s="1"/>
  <c r="A1564" i="93"/>
  <c r="B49" i="58" s="1"/>
  <c r="A1565" i="93"/>
  <c r="B50" i="58" s="1"/>
  <c r="A1566" i="93"/>
  <c r="A1567" i="93"/>
  <c r="B52" i="58" s="1"/>
  <c r="A1568" i="93"/>
  <c r="A1569" i="93"/>
  <c r="B2" i="64" s="1"/>
  <c r="A1570" i="93"/>
  <c r="A1571" i="93"/>
  <c r="B4" i="64" s="1"/>
  <c r="A1572" i="93"/>
  <c r="A1573" i="93"/>
  <c r="B6" i="64" s="1"/>
  <c r="A1574" i="93"/>
  <c r="B7" i="64" s="1"/>
  <c r="A1575" i="93"/>
  <c r="B8" i="64" s="1"/>
  <c r="A1576" i="93"/>
  <c r="B9" i="64" s="1"/>
  <c r="A1577" i="93"/>
  <c r="B10" i="64" s="1"/>
  <c r="A1578" i="93"/>
  <c r="B11" i="64" s="1"/>
  <c r="A1579" i="93"/>
  <c r="B12" i="64" s="1"/>
  <c r="A1580" i="93"/>
  <c r="B13" i="64" s="1"/>
  <c r="A1581" i="93"/>
  <c r="B14" i="64" s="1"/>
  <c r="A1582" i="93"/>
  <c r="B15" i="64" s="1"/>
  <c r="A1583" i="93"/>
  <c r="B16" i="64" s="1"/>
  <c r="A1584" i="93"/>
  <c r="B17" i="64" s="1"/>
  <c r="A1585" i="93"/>
  <c r="B18" i="64" s="1"/>
  <c r="A1586" i="93"/>
  <c r="B19" i="64" s="1"/>
  <c r="A1587" i="93"/>
  <c r="B20" i="64" s="1"/>
  <c r="A1588" i="93"/>
  <c r="B21" i="64" s="1"/>
  <c r="A1589" i="93"/>
  <c r="B22" i="64" s="1"/>
  <c r="A1590" i="93"/>
  <c r="B23" i="64" s="1"/>
  <c r="A1591" i="93"/>
  <c r="B24" i="64" s="1"/>
  <c r="A1592" i="93"/>
  <c r="B25" i="64" s="1"/>
  <c r="A1593" i="93"/>
  <c r="B26" i="64" s="1"/>
  <c r="A1594" i="93"/>
  <c r="B27" i="64" s="1"/>
  <c r="A1595" i="93"/>
  <c r="B28" i="64" s="1"/>
  <c r="A1596" i="93"/>
  <c r="B29" i="64" s="1"/>
  <c r="A1597" i="93"/>
  <c r="B30" i="64" s="1"/>
  <c r="A1598" i="93"/>
  <c r="B31" i="64" s="1"/>
  <c r="A1599" i="93"/>
  <c r="B32" i="64" s="1"/>
  <c r="A1600" i="93"/>
  <c r="B33" i="64" s="1"/>
  <c r="A1601" i="93"/>
  <c r="B34" i="64" s="1"/>
  <c r="A1602" i="93"/>
  <c r="B35" i="64" s="1"/>
  <c r="A1603" i="93"/>
  <c r="B36" i="64" s="1"/>
  <c r="A1604" i="93"/>
  <c r="B37" i="64" s="1"/>
  <c r="A1605" i="93"/>
  <c r="B38" i="64" s="1"/>
  <c r="A1606" i="93"/>
  <c r="B39" i="64" s="1"/>
  <c r="A1607" i="93"/>
  <c r="B40" i="64" s="1"/>
  <c r="A1608" i="93"/>
  <c r="B41" i="64" s="1"/>
  <c r="A1609" i="93"/>
  <c r="B42" i="64" s="1"/>
  <c r="A1610" i="93"/>
  <c r="B43" i="64" s="1"/>
  <c r="A1611" i="93"/>
  <c r="B44" i="64" s="1"/>
  <c r="A1612" i="93"/>
  <c r="B45" i="64" s="1"/>
  <c r="A1613" i="93"/>
  <c r="A1614" i="93"/>
  <c r="B47" i="64" s="1"/>
  <c r="A1615" i="93"/>
  <c r="B48" i="64" s="1"/>
  <c r="A1616" i="93"/>
  <c r="B49" i="64" s="1"/>
  <c r="A1617" i="93"/>
  <c r="A1618" i="93"/>
  <c r="B51" i="64" s="1"/>
  <c r="A1619" i="93"/>
  <c r="B52" i="64" s="1"/>
  <c r="A1620" i="93"/>
  <c r="A1623" i="93"/>
  <c r="B2" i="67" s="1"/>
  <c r="A1624" i="93"/>
  <c r="A1625" i="93"/>
  <c r="B4" i="67" s="1"/>
  <c r="A1626" i="93"/>
  <c r="A1627" i="93"/>
  <c r="B6" i="67" s="1"/>
  <c r="A1628" i="93"/>
  <c r="B7" i="67" s="1"/>
  <c r="A1629" i="93"/>
  <c r="B8" i="67" s="1"/>
  <c r="A1630" i="93"/>
  <c r="A1631" i="93"/>
  <c r="B10" i="67" s="1"/>
  <c r="A1632" i="93"/>
  <c r="B11" i="67" s="1"/>
  <c r="A1633" i="93"/>
  <c r="B12" i="67" s="1"/>
  <c r="A1634" i="93"/>
  <c r="B13" i="67" s="1"/>
  <c r="A1635" i="93"/>
  <c r="B14" i="67" s="1"/>
  <c r="A1636" i="93"/>
  <c r="B15" i="67" s="1"/>
  <c r="A1637" i="93"/>
  <c r="B16" i="67" s="1"/>
  <c r="A1638" i="93"/>
  <c r="B17" i="67" s="1"/>
  <c r="A1639" i="93"/>
  <c r="B18" i="67" s="1"/>
  <c r="A1640" i="93"/>
  <c r="B19" i="67" s="1"/>
  <c r="A1641" i="93"/>
  <c r="B20" i="67" s="1"/>
  <c r="A1642" i="93"/>
  <c r="B21" i="67" s="1"/>
  <c r="A1643" i="93"/>
  <c r="B22" i="67" s="1"/>
  <c r="A1644" i="93"/>
  <c r="B23" i="67" s="1"/>
  <c r="A1645" i="93"/>
  <c r="B24" i="67" s="1"/>
  <c r="A1646" i="93"/>
  <c r="B25" i="67" s="1"/>
  <c r="A1647" i="93"/>
  <c r="B26" i="67" s="1"/>
  <c r="A1648" i="93"/>
  <c r="B27" i="67" s="1"/>
  <c r="A1649" i="93"/>
  <c r="B28" i="67" s="1"/>
  <c r="A1650" i="93"/>
  <c r="B29" i="67" s="1"/>
  <c r="A1651" i="93"/>
  <c r="B30" i="67" s="1"/>
  <c r="A1652" i="93"/>
  <c r="B31" i="67" s="1"/>
  <c r="A1653" i="93"/>
  <c r="B32" i="67" s="1"/>
  <c r="A1654" i="93"/>
  <c r="B33" i="67" s="1"/>
  <c r="A1655" i="93"/>
  <c r="B34" i="67" s="1"/>
  <c r="A1656" i="93"/>
  <c r="B35" i="67" s="1"/>
  <c r="A1657" i="93"/>
  <c r="B36" i="67" s="1"/>
  <c r="A1658" i="93"/>
  <c r="B37" i="67" s="1"/>
  <c r="A1659" i="93"/>
  <c r="B38" i="67" s="1"/>
  <c r="A1660" i="93"/>
  <c r="B39" i="67" s="1"/>
  <c r="A1661" i="93"/>
  <c r="B40" i="67" s="1"/>
  <c r="A1662" i="93"/>
  <c r="B41" i="67" s="1"/>
  <c r="A1663" i="93"/>
  <c r="B42" i="67" s="1"/>
  <c r="A1664" i="93"/>
  <c r="B43" i="67" s="1"/>
  <c r="A1665" i="93"/>
  <c r="B44" i="67" s="1"/>
  <c r="A1666" i="93"/>
  <c r="B45" i="67" s="1"/>
  <c r="A1667" i="93"/>
  <c r="B46" i="67" s="1"/>
  <c r="A1668" i="93"/>
  <c r="B47" i="67" s="1"/>
  <c r="A1669" i="93"/>
  <c r="A1670" i="93"/>
  <c r="B49" i="67" s="1"/>
  <c r="A1671" i="93"/>
  <c r="B50" i="67" s="1"/>
  <c r="A1672" i="93"/>
  <c r="B51" i="67" s="1"/>
  <c r="A1673" i="93"/>
  <c r="A1674" i="93"/>
  <c r="B53" i="67" s="1"/>
  <c r="A1675" i="93"/>
  <c r="B54" i="67" s="1"/>
  <c r="A1676" i="93"/>
  <c r="A1677" i="93"/>
  <c r="B2" i="68" s="1"/>
  <c r="A1678" i="93"/>
  <c r="A1679" i="93"/>
  <c r="B4" i="68" s="1"/>
  <c r="A1680" i="93"/>
  <c r="A1681" i="93"/>
  <c r="B6" i="68" s="1"/>
  <c r="A1682" i="93"/>
  <c r="B7" i="68" s="1"/>
  <c r="A1683" i="93"/>
  <c r="B8" i="68" s="1"/>
  <c r="A1684" i="93"/>
  <c r="B9" i="68" s="1"/>
  <c r="A1685" i="93"/>
  <c r="B10" i="68" s="1"/>
  <c r="A1686" i="93"/>
  <c r="B11" i="68" s="1"/>
  <c r="A1687" i="93"/>
  <c r="B12" i="68" s="1"/>
  <c r="A1688" i="93"/>
  <c r="B13" i="68" s="1"/>
  <c r="A1689" i="93"/>
  <c r="B14" i="68" s="1"/>
  <c r="A1690" i="93"/>
  <c r="B15" i="68" s="1"/>
  <c r="A1691" i="93"/>
  <c r="B16" i="68" s="1"/>
  <c r="A1692" i="93"/>
  <c r="B17" i="68" s="1"/>
  <c r="A1693" i="93"/>
  <c r="B18" i="68" s="1"/>
  <c r="A1694" i="93"/>
  <c r="B19" i="68" s="1"/>
  <c r="A1695" i="93"/>
  <c r="B20" i="68" s="1"/>
  <c r="A1696" i="93"/>
  <c r="B21" i="68" s="1"/>
  <c r="A1697" i="93"/>
  <c r="B22" i="68" s="1"/>
  <c r="A1698" i="93"/>
  <c r="B23" i="68" s="1"/>
  <c r="A1699" i="93"/>
  <c r="B24" i="68" s="1"/>
  <c r="A1700" i="93"/>
  <c r="B25" i="68" s="1"/>
  <c r="A1701" i="93"/>
  <c r="B26" i="68" s="1"/>
  <c r="A1702" i="93"/>
  <c r="B27" i="68" s="1"/>
  <c r="A1703" i="93"/>
  <c r="B28" i="68" s="1"/>
  <c r="A1704" i="93"/>
  <c r="B29" i="68" s="1"/>
  <c r="A1705" i="93"/>
  <c r="B30" i="68" s="1"/>
  <c r="A1706" i="93"/>
  <c r="B31" i="68" s="1"/>
  <c r="A1707" i="93"/>
  <c r="B32" i="68" s="1"/>
  <c r="A1708" i="93"/>
  <c r="B33" i="68" s="1"/>
  <c r="A1709" i="93"/>
  <c r="B34" i="68" s="1"/>
  <c r="A1710" i="93"/>
  <c r="A1711" i="93"/>
  <c r="B36" i="68" s="1"/>
  <c r="A1712" i="93"/>
  <c r="B37" i="68" s="1"/>
  <c r="A1713" i="93"/>
  <c r="B38" i="68" s="1"/>
  <c r="A1714" i="93"/>
  <c r="B39" i="68" s="1"/>
  <c r="A1715" i="93"/>
  <c r="B40" i="68" s="1"/>
  <c r="A1716" i="93"/>
  <c r="B41" i="68" s="1"/>
  <c r="A1717" i="93"/>
  <c r="B42" i="68" s="1"/>
  <c r="A1718" i="93"/>
  <c r="B43" i="68" s="1"/>
  <c r="A1719" i="93"/>
  <c r="B44" i="68" s="1"/>
  <c r="A1720" i="93"/>
  <c r="B45" i="68" s="1"/>
  <c r="A1721" i="93"/>
  <c r="B46" i="68" s="1"/>
  <c r="A1722" i="93"/>
  <c r="B47" i="68" s="1"/>
  <c r="A1723" i="93"/>
  <c r="B48" i="68" s="1"/>
  <c r="A1724" i="93"/>
  <c r="B49" i="68" s="1"/>
  <c r="A1725" i="93"/>
  <c r="B50" i="68" s="1"/>
  <c r="A1726" i="93"/>
  <c r="B51" i="68" s="1"/>
  <c r="A1727" i="93"/>
  <c r="B52" i="68" s="1"/>
  <c r="A1728" i="93"/>
  <c r="B53" i="68" s="1"/>
  <c r="A1729" i="93"/>
  <c r="A1730" i="93"/>
  <c r="B55" i="68" s="1"/>
  <c r="A1731" i="93"/>
  <c r="B56" i="68" s="1"/>
  <c r="A1732" i="93"/>
  <c r="B57" i="68" s="1"/>
  <c r="A1733" i="93"/>
  <c r="A1734" i="93"/>
  <c r="B59" i="68" s="1"/>
  <c r="A1735" i="93"/>
  <c r="B60" i="68" s="1"/>
  <c r="A1736" i="93"/>
  <c r="A1737" i="93"/>
  <c r="B62" i="68" s="1"/>
  <c r="A1738" i="93"/>
  <c r="A1739" i="93"/>
  <c r="B2" i="82" s="1"/>
  <c r="A1740" i="93"/>
  <c r="A1741" i="93"/>
  <c r="B4" i="82" s="1"/>
  <c r="A1742" i="93"/>
  <c r="A1743" i="93"/>
  <c r="B6" i="82" s="1"/>
  <c r="A1744" i="93"/>
  <c r="B7" i="82" s="1"/>
  <c r="A1745" i="93"/>
  <c r="B8" i="82" s="1"/>
  <c r="A1746" i="93"/>
  <c r="B9" i="82" s="1"/>
  <c r="A1747" i="93"/>
  <c r="B10" i="82" s="1"/>
  <c r="A1748" i="93"/>
  <c r="B11" i="82" s="1"/>
  <c r="A1749" i="93"/>
  <c r="B12" i="82" s="1"/>
  <c r="A1750" i="93"/>
  <c r="B13" i="82" s="1"/>
  <c r="A1751" i="93"/>
  <c r="B14" i="82" s="1"/>
  <c r="A1752" i="93"/>
  <c r="B15" i="82" s="1"/>
  <c r="A1753" i="93"/>
  <c r="B16" i="82" s="1"/>
  <c r="A1754" i="93"/>
  <c r="B17" i="82" s="1"/>
  <c r="A1755" i="93"/>
  <c r="B18" i="82" s="1"/>
  <c r="A1756" i="93"/>
  <c r="B19" i="82" s="1"/>
  <c r="A1757" i="93"/>
  <c r="B20" i="82" s="1"/>
  <c r="A1758" i="93"/>
  <c r="B21" i="82" s="1"/>
  <c r="A1759" i="93"/>
  <c r="B22" i="82" s="1"/>
  <c r="A1760" i="93"/>
  <c r="B23" i="82" s="1"/>
  <c r="A1761" i="93"/>
  <c r="B24" i="82" s="1"/>
  <c r="A1762" i="93"/>
  <c r="B25" i="82" s="1"/>
  <c r="A1763" i="93"/>
  <c r="B26" i="82" s="1"/>
  <c r="A1764" i="93"/>
  <c r="B27" i="82" s="1"/>
  <c r="A1765" i="93"/>
  <c r="B28" i="82" s="1"/>
  <c r="A1766" i="93"/>
  <c r="B29" i="82" s="1"/>
  <c r="A1767" i="93"/>
  <c r="B30" i="82" s="1"/>
  <c r="A1768" i="93"/>
  <c r="B31" i="82" s="1"/>
  <c r="A1769" i="93"/>
  <c r="B32" i="82" s="1"/>
  <c r="A1770" i="93"/>
  <c r="B33" i="82" s="1"/>
  <c r="A1771" i="93"/>
  <c r="B34" i="82" s="1"/>
  <c r="A1772" i="93"/>
  <c r="B35" i="82" s="1"/>
  <c r="A1773" i="93"/>
  <c r="B36" i="82" s="1"/>
  <c r="A1774" i="93"/>
  <c r="B37" i="82" s="1"/>
  <c r="A1775" i="93"/>
  <c r="B38" i="82" s="1"/>
  <c r="A1776" i="93"/>
  <c r="B39" i="82" s="1"/>
  <c r="A1777" i="93"/>
  <c r="B40" i="82" s="1"/>
  <c r="A1778" i="93"/>
  <c r="B41" i="82" s="1"/>
  <c r="A1779" i="93"/>
  <c r="B42" i="82" s="1"/>
  <c r="A1780" i="93"/>
  <c r="B43" i="82" s="1"/>
  <c r="A1781" i="93"/>
  <c r="B44" i="82" s="1"/>
  <c r="A1782" i="93"/>
  <c r="B45" i="82" s="1"/>
  <c r="A1783" i="93"/>
  <c r="A1784" i="93"/>
  <c r="B47" i="82" s="1"/>
  <c r="A1785" i="93"/>
  <c r="B48" i="82" s="1"/>
  <c r="A1786" i="93"/>
  <c r="B49" i="82" s="1"/>
  <c r="A1787" i="93"/>
  <c r="A1788" i="93"/>
  <c r="B51" i="82" s="1"/>
  <c r="A1789" i="93"/>
  <c r="B52" i="82" s="1"/>
  <c r="A1790" i="93"/>
  <c r="A1791" i="93"/>
  <c r="B54" i="82" s="1"/>
  <c r="A1792" i="93"/>
  <c r="C4" i="82" s="1"/>
  <c r="B2" i="88"/>
  <c r="A1799" i="93"/>
  <c r="A1800" i="93"/>
  <c r="B4" i="88" s="1"/>
  <c r="A1801" i="93"/>
  <c r="A1802" i="93"/>
  <c r="B6" i="88" s="1"/>
  <c r="A1803" i="93"/>
  <c r="B7" i="88" s="1"/>
  <c r="A1804" i="93"/>
  <c r="B8" i="88" s="1"/>
  <c r="A1805" i="93"/>
  <c r="B9" i="88" s="1"/>
  <c r="A1806" i="93"/>
  <c r="B10" i="88" s="1"/>
  <c r="A1807" i="93"/>
  <c r="B11" i="88" s="1"/>
  <c r="A1808" i="93"/>
  <c r="B12" i="88" s="1"/>
  <c r="A1809" i="93"/>
  <c r="B13" i="88" s="1"/>
  <c r="A1810" i="93"/>
  <c r="B14" i="88" s="1"/>
  <c r="A1811" i="93"/>
  <c r="B15" i="88" s="1"/>
  <c r="A1812" i="93"/>
  <c r="B16" i="88" s="1"/>
  <c r="A1813" i="93"/>
  <c r="B17" i="88" s="1"/>
  <c r="A1814" i="93"/>
  <c r="B18" i="88" s="1"/>
  <c r="A1815" i="93"/>
  <c r="B19" i="88" s="1"/>
  <c r="A1816" i="93"/>
  <c r="B20" i="88" s="1"/>
  <c r="A1817" i="93"/>
  <c r="B21" i="88" s="1"/>
  <c r="A1818" i="93"/>
  <c r="B22" i="88" s="1"/>
  <c r="A1819" i="93"/>
  <c r="B23" i="88" s="1"/>
  <c r="A1820" i="93"/>
  <c r="B24" i="88" s="1"/>
  <c r="A1821" i="93"/>
  <c r="B25" i="88" s="1"/>
  <c r="A1822" i="93"/>
  <c r="B26" i="88" s="1"/>
  <c r="A1823" i="93"/>
  <c r="B27" i="88" s="1"/>
  <c r="A1824" i="93"/>
  <c r="B28" i="88" s="1"/>
  <c r="A1825" i="93"/>
  <c r="B29" i="88" s="1"/>
  <c r="A1826" i="93"/>
  <c r="B30" i="88" s="1"/>
  <c r="A1827" i="93"/>
  <c r="B31" i="88" s="1"/>
  <c r="A1828" i="93"/>
  <c r="B32" i="88" s="1"/>
  <c r="A1829" i="93"/>
  <c r="B33" i="88" s="1"/>
  <c r="A1830" i="93"/>
  <c r="B34" i="88" s="1"/>
  <c r="A1831" i="93"/>
  <c r="B35" i="88" s="1"/>
  <c r="A1832" i="93"/>
  <c r="B36" i="88" s="1"/>
  <c r="A1833" i="93"/>
  <c r="B37" i="88" s="1"/>
  <c r="A1834" i="93"/>
  <c r="B38" i="88" s="1"/>
  <c r="A1835" i="93"/>
  <c r="B39" i="88" s="1"/>
  <c r="A1836" i="93"/>
  <c r="B40" i="88" s="1"/>
  <c r="A1837" i="93"/>
  <c r="B41" i="88" s="1"/>
  <c r="A1838" i="93"/>
  <c r="B42" i="88" s="1"/>
  <c r="A1839" i="93"/>
  <c r="B43" i="88" s="1"/>
  <c r="A1840" i="93"/>
  <c r="B44" i="88" s="1"/>
  <c r="A1841" i="93"/>
  <c r="B45" i="88" s="1"/>
  <c r="A1842" i="93"/>
  <c r="B46" i="88" s="1"/>
  <c r="A1843" i="93"/>
  <c r="B47" i="88" s="1"/>
  <c r="A1844" i="93"/>
  <c r="A1845" i="93"/>
  <c r="B49" i="88" s="1"/>
  <c r="A1846" i="93"/>
  <c r="B50" i="88" s="1"/>
  <c r="A1847" i="93"/>
  <c r="B51" i="88" s="1"/>
  <c r="A1848" i="93"/>
  <c r="A1849" i="93"/>
  <c r="B53" i="88" s="1"/>
  <c r="A1850" i="93"/>
  <c r="B54" i="88" s="1"/>
  <c r="A1851" i="93"/>
  <c r="A1852" i="93"/>
  <c r="B2" i="91" s="1"/>
  <c r="A1853" i="93"/>
  <c r="A1854" i="93"/>
  <c r="B4" i="91" s="1"/>
  <c r="A1855" i="93"/>
  <c r="A1856" i="93"/>
  <c r="B6" i="91" s="1"/>
  <c r="A1857" i="93"/>
  <c r="B7" i="91" s="1"/>
  <c r="A1858" i="93"/>
  <c r="B8" i="91" s="1"/>
  <c r="A1859" i="93"/>
  <c r="B9" i="91" s="1"/>
  <c r="A1860" i="93"/>
  <c r="B10" i="91" s="1"/>
  <c r="A1861" i="93"/>
  <c r="B11" i="91" s="1"/>
  <c r="A1862" i="93"/>
  <c r="A1863" i="93"/>
  <c r="B13" i="91" s="1"/>
  <c r="A1864" i="93"/>
  <c r="B14" i="91" s="1"/>
  <c r="A1865" i="93"/>
  <c r="B15" i="91" s="1"/>
  <c r="A1866" i="93"/>
  <c r="B16" i="91" s="1"/>
  <c r="A1867" i="93"/>
  <c r="B17" i="91" s="1"/>
  <c r="A1868" i="93"/>
  <c r="B18" i="91" s="1"/>
  <c r="A1869" i="93"/>
  <c r="B19" i="91" s="1"/>
  <c r="A1870" i="93"/>
  <c r="B20" i="91" s="1"/>
  <c r="A1871" i="93"/>
  <c r="B21" i="91" s="1"/>
  <c r="A1872" i="93"/>
  <c r="B22" i="91" s="1"/>
  <c r="A1873" i="93"/>
  <c r="B23" i="91" s="1"/>
  <c r="A1874" i="93"/>
  <c r="B24" i="91" s="1"/>
  <c r="A1875" i="93"/>
  <c r="B25" i="91" s="1"/>
  <c r="A1876" i="93"/>
  <c r="B26" i="91" s="1"/>
  <c r="A1877" i="93"/>
  <c r="B27" i="91" s="1"/>
  <c r="A1878" i="93"/>
  <c r="B28" i="91" s="1"/>
  <c r="A1879" i="93"/>
  <c r="B29" i="91" s="1"/>
  <c r="A1880" i="93"/>
  <c r="B30" i="91" s="1"/>
  <c r="A1881" i="93"/>
  <c r="B31" i="91" s="1"/>
  <c r="A1882" i="93"/>
  <c r="B32" i="91" s="1"/>
  <c r="A1883" i="93"/>
  <c r="B33" i="91" s="1"/>
  <c r="A1884" i="93"/>
  <c r="B34" i="91" s="1"/>
  <c r="A1885" i="93"/>
  <c r="B35" i="91" s="1"/>
  <c r="A1886" i="93"/>
  <c r="B36" i="91" s="1"/>
  <c r="A1887" i="93"/>
  <c r="B37" i="91" s="1"/>
  <c r="A1888" i="93"/>
  <c r="B38" i="91" s="1"/>
  <c r="A1889" i="93"/>
  <c r="B39" i="91" s="1"/>
  <c r="A1890" i="93"/>
  <c r="B40" i="91" s="1"/>
  <c r="A1891" i="93"/>
  <c r="B41" i="91" s="1"/>
  <c r="A1892" i="93"/>
  <c r="B42" i="91" s="1"/>
  <c r="A1893" i="93"/>
  <c r="B43" i="91" s="1"/>
  <c r="A1894" i="93"/>
  <c r="B44" i="91" s="1"/>
  <c r="A1895" i="93"/>
  <c r="B45" i="91" s="1"/>
  <c r="A1896" i="93"/>
  <c r="B46" i="91" s="1"/>
  <c r="A1897" i="93"/>
  <c r="A1898" i="93"/>
  <c r="A1899" i="93"/>
  <c r="B49" i="91" s="1"/>
  <c r="A1900" i="93"/>
  <c r="B50" i="91" s="1"/>
  <c r="A1901" i="93"/>
  <c r="B51" i="91" s="1"/>
  <c r="A1902" i="93"/>
  <c r="B52" i="91" s="1"/>
  <c r="A1903" i="93"/>
  <c r="A1904" i="93"/>
  <c r="B54" i="91" s="1"/>
  <c r="A1905" i="93"/>
  <c r="B55" i="91" s="1"/>
  <c r="A1906" i="93"/>
  <c r="B56" i="91" s="1"/>
  <c r="A1907" i="93"/>
  <c r="A1908" i="93"/>
  <c r="B58" i="91" s="1"/>
  <c r="A1909" i="93"/>
  <c r="B59" i="91" s="1"/>
  <c r="A1910" i="93"/>
  <c r="A1911" i="93"/>
  <c r="B2" i="56" s="1"/>
  <c r="A1912" i="93"/>
  <c r="A1913" i="93"/>
  <c r="B4" i="56" s="1"/>
  <c r="A1914" i="93"/>
  <c r="A1915" i="93"/>
  <c r="B6" i="56" s="1"/>
  <c r="A1916" i="93"/>
  <c r="A1917" i="93"/>
  <c r="B8" i="56" s="1"/>
  <c r="A1918" i="93"/>
  <c r="B9" i="56" s="1"/>
  <c r="A1919" i="93"/>
  <c r="B10" i="56" s="1"/>
  <c r="A1920" i="93"/>
  <c r="B11" i="56" s="1"/>
  <c r="A1921" i="93"/>
  <c r="B12" i="56" s="1"/>
  <c r="A1922" i="93"/>
  <c r="B13" i="56" s="1"/>
  <c r="A1923" i="93"/>
  <c r="B14" i="56" s="1"/>
  <c r="A1924" i="93"/>
  <c r="B15" i="56" s="1"/>
  <c r="A1925" i="93"/>
  <c r="B16" i="56" s="1"/>
  <c r="A1926" i="93"/>
  <c r="B17" i="56" s="1"/>
  <c r="A1927" i="93"/>
  <c r="B18" i="56" s="1"/>
  <c r="A1928" i="93"/>
  <c r="B19" i="56" s="1"/>
  <c r="A1929" i="93"/>
  <c r="B20" i="56" s="1"/>
  <c r="A1930" i="93"/>
  <c r="W4" i="56" s="1"/>
  <c r="A1931" i="93"/>
  <c r="AV4" i="56" s="1"/>
  <c r="A1932" i="93"/>
  <c r="BU4" i="56" s="1"/>
  <c r="A1933" i="93"/>
  <c r="CT4" i="56" s="1"/>
  <c r="A1934" i="93"/>
  <c r="DS4" i="56" s="1"/>
  <c r="A1935" i="93"/>
  <c r="ER4" i="56" s="1"/>
  <c r="A1936" i="93"/>
  <c r="FQ4" i="56" s="1"/>
  <c r="A1937" i="93"/>
  <c r="A1938" i="93"/>
  <c r="B2" i="46" s="1"/>
  <c r="A1939" i="93"/>
  <c r="A1940" i="93"/>
  <c r="B4" i="46" s="1"/>
  <c r="A1941" i="93"/>
  <c r="A1942" i="93"/>
  <c r="A1943" i="93"/>
  <c r="B7" i="46" s="1"/>
  <c r="A1944" i="93"/>
  <c r="B8" i="46" s="1"/>
  <c r="A1945" i="93"/>
  <c r="B9" i="46" s="1"/>
  <c r="A1946" i="93"/>
  <c r="B10" i="46" s="1"/>
  <c r="A1947" i="93"/>
  <c r="B11" i="46" s="1"/>
  <c r="A1948" i="93"/>
  <c r="B12" i="46" s="1"/>
  <c r="A1949" i="93"/>
  <c r="B13" i="46" s="1"/>
  <c r="A1950" i="93"/>
  <c r="B14" i="46" s="1"/>
  <c r="A1951" i="93"/>
  <c r="B15" i="46" s="1"/>
  <c r="A1952" i="93"/>
  <c r="B16" i="46" s="1"/>
  <c r="A1953" i="93"/>
  <c r="B17" i="46" s="1"/>
  <c r="A1954" i="93"/>
  <c r="A1955" i="93"/>
  <c r="B19" i="46" s="1"/>
  <c r="A1956" i="93"/>
  <c r="B20" i="46" s="1"/>
  <c r="A1957" i="93"/>
  <c r="B21" i="46" s="1"/>
  <c r="A1958" i="93"/>
  <c r="A1959" i="93"/>
  <c r="B23" i="46" s="1"/>
  <c r="A1960" i="93"/>
  <c r="A1961" i="93"/>
  <c r="B25" i="46" s="1"/>
  <c r="A1962" i="93"/>
  <c r="B26" i="46" s="1"/>
  <c r="A1963" i="93"/>
  <c r="A1964" i="93"/>
  <c r="B2" i="84" s="1"/>
  <c r="A1965" i="93"/>
  <c r="A1966" i="93"/>
  <c r="B4" i="84" s="1"/>
  <c r="A1967" i="93"/>
  <c r="A1968" i="93"/>
  <c r="B6" i="84" s="1"/>
  <c r="A1969" i="93"/>
  <c r="B7" i="84" s="1"/>
  <c r="A1970" i="93"/>
  <c r="B8" i="84" s="1"/>
  <c r="A1971" i="93"/>
  <c r="B9" i="84" s="1"/>
  <c r="A1972" i="93"/>
  <c r="B10" i="84" s="1"/>
  <c r="A1973" i="93"/>
  <c r="B11" i="84" s="1"/>
  <c r="A1974" i="93"/>
  <c r="B12" i="84" s="1"/>
  <c r="A1975" i="93"/>
  <c r="B13" i="84" s="1"/>
  <c r="A1976" i="93"/>
  <c r="B14" i="84" s="1"/>
  <c r="A1977" i="93"/>
  <c r="B15" i="84" s="1"/>
  <c r="A1978" i="93"/>
  <c r="B16" i="84" s="1"/>
  <c r="A1979" i="93"/>
  <c r="B17" i="84" s="1"/>
  <c r="A1980" i="93"/>
  <c r="B18" i="84" s="1"/>
  <c r="A1981" i="93"/>
  <c r="B19" i="84" s="1"/>
  <c r="A1982" i="93"/>
  <c r="B20" i="84" s="1"/>
  <c r="A1983" i="93"/>
  <c r="B21" i="84" s="1"/>
  <c r="A1984" i="93"/>
  <c r="B22" i="84" s="1"/>
  <c r="A1985" i="93"/>
  <c r="A1986" i="93"/>
  <c r="B24" i="84" s="1"/>
  <c r="A1987" i="93"/>
  <c r="B25" i="84" s="1"/>
  <c r="A1988" i="93"/>
  <c r="B26" i="84" s="1"/>
  <c r="A1989" i="93"/>
  <c r="A1990" i="93"/>
  <c r="A1991" i="93"/>
  <c r="A1992" i="93"/>
  <c r="B30" i="84" s="1"/>
  <c r="A1993" i="93"/>
  <c r="A1994" i="93"/>
  <c r="B32" i="84" s="1"/>
  <c r="A1995" i="93"/>
  <c r="B33" i="84" s="1"/>
  <c r="A1996" i="93"/>
  <c r="B34" i="84" s="1"/>
  <c r="A1997" i="93"/>
  <c r="B35" i="84" s="1"/>
  <c r="A1998" i="93"/>
  <c r="B36" i="84" s="1"/>
  <c r="A1999" i="93"/>
  <c r="B37" i="84" s="1"/>
  <c r="A2000" i="93"/>
  <c r="B38" i="84" s="1"/>
  <c r="A2001" i="93"/>
  <c r="A2002" i="93"/>
  <c r="B40" i="84" s="1"/>
  <c r="A2003" i="93"/>
  <c r="B41" i="84" s="1"/>
  <c r="A2004" i="93"/>
  <c r="B42" i="84" s="1"/>
  <c r="A2005" i="93"/>
  <c r="B43" i="84" s="1"/>
  <c r="A2006" i="93"/>
  <c r="B44" i="84" s="1"/>
  <c r="A2007" i="93"/>
  <c r="B45" i="84" s="1"/>
  <c r="A2008" i="93"/>
  <c r="A2009" i="93"/>
  <c r="B47" i="84" s="1"/>
  <c r="A2010" i="93"/>
  <c r="B48" i="84" s="1"/>
  <c r="A2011" i="93"/>
  <c r="B49" i="84" s="1"/>
  <c r="A2012" i="93"/>
  <c r="B50" i="84" s="1"/>
  <c r="A2013" i="93"/>
  <c r="B51" i="84" s="1"/>
  <c r="A2014" i="93"/>
  <c r="A2015" i="93"/>
  <c r="B53" i="84" s="1"/>
  <c r="A2016" i="93"/>
  <c r="B54" i="84" s="1"/>
  <c r="A2017" i="93"/>
  <c r="B55" i="84" s="1"/>
  <c r="A2018" i="93"/>
  <c r="B56" i="84" s="1"/>
  <c r="A2019" i="93"/>
  <c r="B57" i="84" s="1"/>
  <c r="A2020" i="93"/>
  <c r="B58" i="84" s="1"/>
  <c r="A2021" i="93"/>
  <c r="A2022" i="93"/>
  <c r="B60" i="84" s="1"/>
  <c r="A2023" i="93"/>
  <c r="B61" i="84" s="1"/>
  <c r="A2024" i="93"/>
  <c r="B62" i="84" s="1"/>
  <c r="A2025" i="93"/>
  <c r="B63" i="84" s="1"/>
  <c r="A2026" i="93"/>
  <c r="B64" i="84" s="1"/>
  <c r="A2027" i="93"/>
  <c r="A2028" i="93"/>
  <c r="B66" i="84" s="1"/>
  <c r="A2029" i="93"/>
  <c r="B67" i="84" s="1"/>
  <c r="A2030" i="93"/>
  <c r="B68" i="84" s="1"/>
  <c r="A2031" i="93"/>
  <c r="B69" i="84" s="1"/>
  <c r="A2032" i="93"/>
  <c r="B70" i="84" s="1"/>
  <c r="A2033" i="93"/>
  <c r="B71" i="84" s="1"/>
  <c r="A2034" i="93"/>
  <c r="A2035" i="93"/>
  <c r="A2036" i="93"/>
  <c r="B74" i="84" s="1"/>
  <c r="A2037" i="93"/>
  <c r="B75" i="84" s="1"/>
  <c r="A2038" i="93"/>
  <c r="B76" i="84" s="1"/>
  <c r="A2039" i="93"/>
  <c r="M4" i="84" s="1"/>
  <c r="A2040" i="93"/>
  <c r="N4" i="84" s="1"/>
  <c r="A2041" i="93"/>
  <c r="O4" i="84" s="1"/>
  <c r="A2042" i="93"/>
  <c r="P4" i="84" s="1"/>
  <c r="A2043" i="93"/>
  <c r="Q4" i="84" s="1"/>
  <c r="A2044" i="93"/>
  <c r="R4" i="84" s="1"/>
  <c r="A2045" i="93"/>
  <c r="S4" i="84" s="1"/>
  <c r="A2046" i="93"/>
  <c r="T4" i="84" s="1"/>
  <c r="A2047" i="93"/>
  <c r="U4" i="84" s="1"/>
  <c r="A2048" i="93"/>
  <c r="V4" i="84" s="1"/>
  <c r="A2049" i="93"/>
  <c r="A2050" i="93"/>
  <c r="B2" i="87" s="1"/>
  <c r="A2051" i="93"/>
  <c r="A2052" i="93"/>
  <c r="B4" i="87" s="1"/>
  <c r="A2053" i="93"/>
  <c r="A2054" i="93"/>
  <c r="B6" i="87" s="1"/>
  <c r="A2055" i="93"/>
  <c r="A2056" i="93"/>
  <c r="B8" i="87" s="1"/>
  <c r="A2057" i="93"/>
  <c r="B9" i="87" s="1"/>
  <c r="A2058" i="93"/>
  <c r="B10" i="87" s="1"/>
  <c r="A2059" i="93"/>
  <c r="B11" i="87" s="1"/>
  <c r="A2060" i="93"/>
  <c r="B12" i="87" s="1"/>
  <c r="A2061" i="93"/>
  <c r="B13" i="87" s="1"/>
  <c r="A2062" i="93"/>
  <c r="B14" i="87" s="1"/>
  <c r="A2063" i="93"/>
  <c r="B15" i="87" s="1"/>
  <c r="A2064" i="93"/>
  <c r="B16" i="87" s="1"/>
  <c r="A2065" i="93"/>
  <c r="B17" i="87" s="1"/>
  <c r="A2066" i="93"/>
  <c r="B18" i="87" s="1"/>
  <c r="A2067" i="93"/>
  <c r="B19" i="87" s="1"/>
  <c r="A2068" i="93"/>
  <c r="B20" i="87" s="1"/>
  <c r="A2069" i="93"/>
  <c r="B21" i="87" s="1"/>
  <c r="A2070" i="93"/>
  <c r="A2071" i="93"/>
  <c r="B23" i="87" s="1"/>
  <c r="A2072" i="93"/>
  <c r="B24" i="87" s="1"/>
  <c r="A2073" i="93"/>
  <c r="A2074" i="93"/>
  <c r="B26" i="87" s="1"/>
  <c r="A2075" i="93"/>
  <c r="B27" i="87" s="1"/>
  <c r="A2076" i="93"/>
  <c r="B28" i="87" s="1"/>
  <c r="A2077" i="93"/>
  <c r="B29" i="87" s="1"/>
  <c r="A2078" i="93"/>
  <c r="B30" i="87" s="1"/>
  <c r="A2079" i="93"/>
  <c r="A2080" i="93"/>
  <c r="B32" i="87" s="1"/>
  <c r="A2081" i="93"/>
  <c r="B33" i="87" s="1"/>
  <c r="A2082" i="93"/>
  <c r="B34" i="87" s="1"/>
  <c r="A2083" i="93"/>
  <c r="A2084" i="93"/>
  <c r="A2085" i="93"/>
  <c r="B37" i="87" s="1"/>
  <c r="A2086" i="93"/>
  <c r="B38" i="87" s="1"/>
  <c r="A2087" i="93"/>
  <c r="C4" i="87" s="1"/>
  <c r="A2088" i="93"/>
  <c r="C27" i="87" s="1"/>
  <c r="A2089" i="93"/>
  <c r="D4" i="87" s="1"/>
  <c r="A2090" i="93"/>
  <c r="E4" i="87" s="1"/>
  <c r="A2091" i="93"/>
  <c r="F4" i="87" s="1"/>
  <c r="A2092" i="93"/>
  <c r="G4" i="87" s="1"/>
  <c r="A2093" i="93"/>
  <c r="H4" i="87" s="1"/>
  <c r="A2094" i="93"/>
  <c r="A2095" i="93"/>
  <c r="A2096" i="93"/>
  <c r="A2097" i="93"/>
  <c r="A2098" i="93"/>
  <c r="A2099" i="93"/>
  <c r="A2103" i="93"/>
  <c r="A2121" i="93"/>
  <c r="A2133" i="93"/>
  <c r="A2134" i="93"/>
  <c r="A2136" i="93"/>
  <c r="A2131" i="93"/>
  <c r="A2132" i="93"/>
  <c r="A2126" i="93"/>
  <c r="N4" i="73" s="1"/>
  <c r="A2127" i="93"/>
  <c r="P4" i="73" s="1"/>
  <c r="A2128" i="93"/>
  <c r="R4" i="73" s="1"/>
  <c r="A2129" i="93"/>
  <c r="T4" i="73" s="1"/>
  <c r="A2130" i="93"/>
  <c r="V4" i="73" s="1"/>
  <c r="A2137" i="93"/>
  <c r="B10" i="81" s="1"/>
  <c r="A2138" i="93"/>
  <c r="A2139" i="93"/>
  <c r="B2" i="10" s="1"/>
  <c r="A2140" i="93"/>
  <c r="B6" i="10" s="1"/>
  <c r="A2141" i="93"/>
  <c r="B7" i="10" s="1"/>
  <c r="A2142" i="93"/>
  <c r="B8" i="10" s="1"/>
  <c r="A2143" i="93"/>
  <c r="B9" i="10" s="1"/>
  <c r="A2144" i="93"/>
  <c r="B10" i="10" s="1"/>
  <c r="A2145" i="93"/>
  <c r="B11" i="10" s="1"/>
  <c r="A2146" i="93"/>
  <c r="B12" i="10" s="1"/>
  <c r="A2147" i="93"/>
  <c r="A2148" i="93"/>
  <c r="B14" i="10" s="1"/>
  <c r="A2149" i="93"/>
  <c r="B16" i="10" s="1"/>
  <c r="A2150" i="93"/>
  <c r="B17" i="10" s="1"/>
  <c r="A2151" i="93"/>
  <c r="B18" i="10" s="1"/>
  <c r="A2152" i="93"/>
  <c r="B19" i="10" s="1"/>
  <c r="A2153" i="93"/>
  <c r="B20" i="10" s="1"/>
  <c r="A2154" i="93"/>
  <c r="B21" i="10" s="1"/>
  <c r="A2155" i="93"/>
  <c r="B22" i="10" s="1"/>
  <c r="A2156" i="93"/>
  <c r="B24" i="10" s="1"/>
  <c r="A2157" i="93"/>
  <c r="B25" i="10" s="1"/>
  <c r="A2158" i="93"/>
  <c r="B26" i="10" s="1"/>
  <c r="A2159" i="93"/>
  <c r="B27" i="10" s="1"/>
  <c r="A2160" i="93"/>
  <c r="B28" i="10" s="1"/>
  <c r="A2161" i="93"/>
  <c r="B29" i="10" s="1"/>
  <c r="A2162" i="93"/>
  <c r="B30" i="10" s="1"/>
  <c r="A2163" i="93"/>
  <c r="B31" i="10" s="1"/>
  <c r="A2164" i="93"/>
  <c r="B32" i="10" s="1"/>
  <c r="A2165" i="93"/>
  <c r="A2166" i="93"/>
  <c r="B34" i="10" s="1"/>
  <c r="A2167" i="93"/>
  <c r="A2168" i="93"/>
  <c r="A2169" i="93"/>
  <c r="A2170" i="93"/>
  <c r="A2171" i="93"/>
  <c r="A2172" i="93"/>
  <c r="B41" i="10" s="1"/>
  <c r="A2173" i="93"/>
  <c r="B42" i="10" s="1"/>
  <c r="A2174" i="93"/>
  <c r="B43" i="10" s="1"/>
  <c r="A2175" i="93"/>
  <c r="B44" i="10" s="1"/>
  <c r="A2176" i="93"/>
  <c r="B45" i="10" s="1"/>
  <c r="A2177" i="93"/>
  <c r="B46" i="10" s="1"/>
  <c r="A2178" i="93"/>
  <c r="A2179" i="93"/>
  <c r="B2" i="9" s="1"/>
  <c r="A2180" i="93"/>
  <c r="B4" i="9" s="1"/>
  <c r="A2181" i="93"/>
  <c r="B6" i="9" s="1"/>
  <c r="A2182" i="93"/>
  <c r="B7" i="9" s="1"/>
  <c r="B13" i="9" s="1"/>
  <c r="A2183" i="93"/>
  <c r="B8" i="9" s="1"/>
  <c r="B14" i="9" s="1"/>
  <c r="A2184" i="93"/>
  <c r="B9" i="9" s="1"/>
  <c r="A2185" i="93"/>
  <c r="B10" i="9" s="1"/>
  <c r="A2187" i="93"/>
  <c r="B12" i="9" s="1"/>
  <c r="A2188" i="93"/>
  <c r="B15" i="9" s="1"/>
  <c r="A2189" i="93"/>
  <c r="A2192" i="93"/>
  <c r="B27" i="83" s="1"/>
  <c r="A2193" i="93"/>
  <c r="B33" i="83" s="1"/>
  <c r="A2194" i="93"/>
  <c r="A2195" i="93"/>
  <c r="B16" i="65" s="1"/>
  <c r="A2196" i="93"/>
  <c r="A2216" i="93"/>
  <c r="A2217" i="93"/>
  <c r="B2" i="118" s="1"/>
  <c r="A2218" i="93"/>
  <c r="B3" i="118" s="1"/>
  <c r="A2219" i="93"/>
  <c r="B4" i="118" s="1"/>
  <c r="A2220" i="93"/>
  <c r="B5" i="118" s="1"/>
  <c r="A2221" i="93"/>
  <c r="A2223" i="93"/>
  <c r="A2224" i="93"/>
  <c r="A2225" i="93"/>
  <c r="A2226" i="93"/>
  <c r="B8" i="118" s="1"/>
  <c r="A2227" i="93"/>
  <c r="A2228" i="93"/>
  <c r="A2229" i="93"/>
  <c r="A2230" i="93"/>
  <c r="A2231" i="93"/>
  <c r="B11" i="118" s="1"/>
  <c r="A2232" i="93"/>
  <c r="A2233" i="93"/>
  <c r="A2234" i="93"/>
  <c r="A2235" i="93"/>
  <c r="A2236" i="93"/>
  <c r="A2237" i="93"/>
  <c r="A2238" i="93"/>
  <c r="B16" i="118" s="1"/>
  <c r="A2239" i="93"/>
  <c r="B17" i="118" s="1"/>
  <c r="A2240" i="93"/>
  <c r="B18" i="118" s="1"/>
  <c r="A2241" i="93"/>
  <c r="B19" i="118" s="1"/>
  <c r="A2242" i="93"/>
  <c r="B20" i="118" s="1"/>
  <c r="A2243" i="93"/>
  <c r="B21" i="118" s="1"/>
  <c r="A2244" i="93"/>
  <c r="B22" i="118" s="1"/>
  <c r="A2245" i="93"/>
  <c r="B23" i="118" s="1"/>
  <c r="A2246" i="93"/>
  <c r="A2247" i="93"/>
  <c r="B2" i="83" s="1"/>
  <c r="A2248" i="93"/>
  <c r="B2" i="66" s="1"/>
  <c r="A2249" i="93"/>
  <c r="B2" i="65" s="1"/>
  <c r="A2250" i="93"/>
  <c r="A2251" i="93"/>
  <c r="B2" i="115" s="1"/>
  <c r="A2252" i="93"/>
  <c r="B3" i="115" s="1"/>
  <c r="A2253" i="93"/>
  <c r="B4" i="115" s="1"/>
  <c r="A2254" i="93"/>
  <c r="B5" i="115" s="1"/>
  <c r="A2255" i="93"/>
  <c r="B6" i="115" s="1"/>
  <c r="A2256" i="93"/>
  <c r="B7" i="115" s="1"/>
  <c r="A2257" i="93"/>
  <c r="B8" i="115" s="1"/>
  <c r="A2258" i="93"/>
  <c r="B9" i="115" s="1"/>
  <c r="A2259" i="93"/>
  <c r="A2260" i="93"/>
  <c r="B11" i="115" s="1"/>
  <c r="A2261" i="93"/>
  <c r="B12" i="115" s="1"/>
  <c r="A2262" i="93"/>
  <c r="A2263" i="93"/>
  <c r="A2264" i="93"/>
  <c r="B15" i="115" s="1"/>
  <c r="A2265" i="93"/>
  <c r="B16" i="115" s="1"/>
  <c r="A2266" i="93"/>
  <c r="B17" i="115" s="1"/>
  <c r="A2267" i="93"/>
  <c r="A2268" i="93"/>
  <c r="B19" i="115" s="1"/>
  <c r="A2269" i="93"/>
  <c r="B20" i="115" s="1"/>
  <c r="A2270" i="93"/>
  <c r="B21" i="115" s="1"/>
  <c r="A2271" i="93"/>
  <c r="B22" i="115" s="1"/>
  <c r="A2272" i="93"/>
  <c r="A2273" i="93"/>
  <c r="B24" i="115" s="1"/>
  <c r="A2274" i="93"/>
  <c r="B25" i="115" s="1"/>
  <c r="A2275" i="93"/>
  <c r="A2276" i="93"/>
  <c r="A2277" i="93"/>
  <c r="B28" i="115" s="1"/>
  <c r="A2278" i="93"/>
  <c r="B29" i="115" s="1"/>
  <c r="A2279" i="93"/>
  <c r="A2280" i="93"/>
  <c r="A2281" i="93"/>
  <c r="A2282" i="93"/>
  <c r="A2283" i="93"/>
  <c r="A2284" i="93"/>
  <c r="A2285" i="93"/>
  <c r="A2286" i="93"/>
  <c r="A2287" i="93"/>
  <c r="A2288" i="93"/>
  <c r="A2289" i="93"/>
  <c r="A2290" i="93"/>
  <c r="A1061" i="93"/>
  <c r="A1062" i="93"/>
  <c r="A1069" i="93"/>
  <c r="A1068" i="93"/>
  <c r="A1067" i="93"/>
  <c r="A1066" i="93"/>
  <c r="A1065" i="93"/>
  <c r="A1064" i="93"/>
  <c r="A1063" i="93"/>
  <c r="A1057" i="93"/>
  <c r="A1058" i="93"/>
  <c r="A1059" i="93"/>
  <c r="B56" i="55" s="1"/>
  <c r="A1047" i="93"/>
  <c r="B6" i="118" l="1"/>
  <c r="B9" i="118"/>
  <c r="B12" i="118"/>
  <c r="B48" i="91"/>
  <c r="B37" i="83"/>
  <c r="B47" i="91"/>
  <c r="B36" i="83"/>
  <c r="B29" i="73"/>
  <c r="B49" i="73"/>
  <c r="B32" i="73"/>
  <c r="B52" i="73"/>
  <c r="B13" i="115"/>
  <c r="B12" i="52"/>
  <c r="B27" i="115"/>
  <c r="B76" i="73"/>
  <c r="B30" i="73"/>
  <c r="B50" i="73"/>
  <c r="B10" i="115"/>
  <c r="B15" i="116"/>
  <c r="B13" i="20"/>
  <c r="B13" i="52"/>
  <c r="B13" i="71"/>
  <c r="B15" i="117"/>
  <c r="B53" i="73"/>
  <c r="B33" i="73"/>
  <c r="B23" i="115"/>
  <c r="B15" i="20"/>
  <c r="B15" i="52"/>
  <c r="B15" i="71"/>
  <c r="B17" i="117"/>
  <c r="B17" i="116"/>
  <c r="B30" i="115"/>
  <c r="B17" i="20"/>
  <c r="B17" i="52"/>
  <c r="B19" i="116"/>
  <c r="B77" i="73"/>
  <c r="B17" i="71"/>
  <c r="B19" i="117"/>
  <c r="B14" i="115"/>
  <c r="B11" i="116"/>
  <c r="B11" i="71"/>
  <c r="B11" i="117"/>
  <c r="B11" i="52"/>
  <c r="B11" i="20"/>
  <c r="G2" i="116"/>
  <c r="G2" i="117"/>
  <c r="G2" i="115"/>
  <c r="F2" i="117"/>
  <c r="F2" i="116"/>
  <c r="F2" i="115"/>
  <c r="E2" i="117"/>
  <c r="E2" i="116"/>
  <c r="E2" i="115"/>
  <c r="D2" i="117"/>
  <c r="D2" i="116"/>
  <c r="D2" i="115"/>
  <c r="C2" i="117"/>
  <c r="C2" i="116"/>
  <c r="C2" i="115"/>
  <c r="B12" i="91"/>
  <c r="B9" i="83"/>
  <c r="B15" i="62"/>
  <c r="B8" i="65"/>
  <c r="BC4" i="60"/>
  <c r="BC31" i="60" s="1"/>
  <c r="B9" i="67"/>
  <c r="F4" i="64"/>
  <c r="F4" i="62"/>
  <c r="G2" i="52"/>
  <c r="G2" i="65"/>
  <c r="G2" i="20"/>
  <c r="F2" i="52"/>
  <c r="F2" i="20"/>
  <c r="F2" i="65"/>
  <c r="E2" i="52"/>
  <c r="E2" i="20"/>
  <c r="E2" i="65"/>
  <c r="D2" i="52"/>
  <c r="D2" i="20"/>
  <c r="D2" i="65"/>
  <c r="C2" i="52"/>
  <c r="C2" i="65"/>
  <c r="C2" i="20"/>
  <c r="G2" i="71"/>
  <c r="K4" i="73"/>
  <c r="F2" i="71"/>
  <c r="I4" i="73"/>
  <c r="G4" i="73"/>
  <c r="E2" i="71"/>
  <c r="D2" i="71"/>
  <c r="E4" i="73"/>
  <c r="C2" i="71"/>
  <c r="C4" i="73"/>
  <c r="C27" i="73" s="1"/>
  <c r="B35" i="68"/>
  <c r="BB31" i="60"/>
  <c r="N31" i="60"/>
  <c r="BI19" i="60"/>
  <c r="BA31" i="60"/>
  <c r="AS19" i="60"/>
  <c r="AK31" i="60"/>
  <c r="AC31" i="60"/>
  <c r="U31" i="60"/>
  <c r="L19" i="60"/>
  <c r="BO19" i="60"/>
  <c r="BG31" i="60"/>
  <c r="AY19" i="60"/>
  <c r="AQ19" i="60"/>
  <c r="AI31" i="60"/>
  <c r="AA31" i="60"/>
  <c r="S31" i="60"/>
  <c r="BN19" i="60"/>
  <c r="J19" i="60"/>
  <c r="BM19" i="60"/>
  <c r="BE19" i="60"/>
  <c r="AW19" i="60"/>
  <c r="AO19" i="60"/>
  <c r="AG31" i="60"/>
  <c r="Y31" i="60"/>
  <c r="Q31" i="60"/>
  <c r="BL31" i="60"/>
  <c r="BD31" i="60"/>
  <c r="H19" i="60"/>
  <c r="BK19" i="60"/>
  <c r="AU31" i="60"/>
  <c r="AM31" i="60"/>
  <c r="AE31" i="60"/>
  <c r="W31" i="60"/>
  <c r="BJ19" i="60"/>
  <c r="BH31" i="60"/>
  <c r="BF31" i="60"/>
  <c r="BP31" i="60"/>
  <c r="AZ19" i="60"/>
  <c r="AX19" i="60"/>
  <c r="AV31" i="60"/>
  <c r="AT31" i="60"/>
  <c r="AR19" i="60"/>
  <c r="AP19" i="60"/>
  <c r="AN31" i="60"/>
  <c r="AL31" i="60"/>
  <c r="AJ31" i="60"/>
  <c r="AH31" i="60"/>
  <c r="AF31" i="60"/>
  <c r="AD31" i="60"/>
  <c r="AB31" i="60"/>
  <c r="Z31" i="60"/>
  <c r="X31" i="60"/>
  <c r="V31" i="60"/>
  <c r="T31" i="60"/>
  <c r="R31" i="60"/>
  <c r="P31" i="60"/>
  <c r="O31" i="60"/>
  <c r="M31" i="60"/>
  <c r="K19" i="60"/>
  <c r="I31" i="60"/>
  <c r="F4" i="60"/>
  <c r="F19" i="60" s="1"/>
  <c r="E4" i="60"/>
  <c r="E31" i="60" s="1"/>
  <c r="D4" i="60"/>
  <c r="C4" i="60"/>
  <c r="C19" i="60" s="1"/>
  <c r="G4" i="60"/>
  <c r="C29" i="87"/>
  <c r="C30" i="87"/>
  <c r="C28" i="87"/>
  <c r="V19" i="60"/>
  <c r="N19" i="60"/>
  <c r="BH19" i="60"/>
  <c r="AV19" i="60"/>
  <c r="AN19" i="60"/>
  <c r="AF19" i="60"/>
  <c r="BO31" i="60"/>
  <c r="BE31" i="60"/>
  <c r="AS31" i="60"/>
  <c r="U19" i="60"/>
  <c r="M19" i="60"/>
  <c r="BG19" i="60"/>
  <c r="AU19" i="60"/>
  <c r="AM19" i="60"/>
  <c r="AE19" i="60"/>
  <c r="BM31" i="60"/>
  <c r="AZ31" i="60"/>
  <c r="AR31" i="60"/>
  <c r="T19" i="60"/>
  <c r="BP19" i="60"/>
  <c r="BF19" i="60"/>
  <c r="AT19" i="60"/>
  <c r="AL19" i="60"/>
  <c r="AD19" i="60"/>
  <c r="L31" i="60"/>
  <c r="BK31" i="60"/>
  <c r="AY31" i="60"/>
  <c r="AQ31" i="60"/>
  <c r="AA19" i="60"/>
  <c r="S19" i="60"/>
  <c r="AK19" i="60"/>
  <c r="AC19" i="60"/>
  <c r="K31" i="60"/>
  <c r="BJ31" i="60"/>
  <c r="AX31" i="60"/>
  <c r="AP31" i="60"/>
  <c r="Z19" i="60"/>
  <c r="R19" i="60"/>
  <c r="AJ19" i="60"/>
  <c r="AB19" i="60"/>
  <c r="J31" i="60"/>
  <c r="BI31" i="60"/>
  <c r="AW31" i="60"/>
  <c r="AO31" i="60"/>
  <c r="Y19" i="60"/>
  <c r="Q19" i="60"/>
  <c r="AI19" i="60"/>
  <c r="H31" i="60"/>
  <c r="X19" i="60"/>
  <c r="P19" i="60"/>
  <c r="AH19" i="60"/>
  <c r="W19" i="60"/>
  <c r="O19" i="60"/>
  <c r="AG19" i="60"/>
  <c r="AH24" i="51"/>
  <c r="Z24" i="51"/>
  <c r="R24" i="51"/>
  <c r="J24" i="51"/>
  <c r="AG24" i="51"/>
  <c r="Y24" i="51"/>
  <c r="Q24" i="51"/>
  <c r="I24" i="51"/>
  <c r="L24" i="51"/>
  <c r="AA24" i="51"/>
  <c r="AF24" i="51"/>
  <c r="X24" i="51"/>
  <c r="P24" i="51"/>
  <c r="H24" i="51"/>
  <c r="AJ24" i="51"/>
  <c r="S24" i="51"/>
  <c r="AE24" i="51"/>
  <c r="W24" i="51"/>
  <c r="O24" i="51"/>
  <c r="G24" i="51"/>
  <c r="AC24" i="51"/>
  <c r="M24" i="51"/>
  <c r="T24" i="51"/>
  <c r="K24" i="51"/>
  <c r="AD24" i="51"/>
  <c r="V24" i="51"/>
  <c r="N24" i="51"/>
  <c r="F24" i="51"/>
  <c r="AK24" i="51"/>
  <c r="U24" i="51"/>
  <c r="E24" i="51"/>
  <c r="AB24" i="51"/>
  <c r="AI24" i="51"/>
  <c r="C24" i="51"/>
  <c r="D24" i="51"/>
  <c r="BN31" i="60"/>
  <c r="BL19" i="60"/>
  <c r="I19" i="60"/>
  <c r="EI4" i="81"/>
  <c r="EJ4" i="81"/>
  <c r="EK4" i="81"/>
  <c r="EL4" i="81"/>
  <c r="ED4" i="81"/>
  <c r="EE4" i="81"/>
  <c r="EF4" i="81"/>
  <c r="EG4" i="81"/>
  <c r="EB4" i="81"/>
  <c r="EA4" i="81"/>
  <c r="DZ4" i="81"/>
  <c r="DY4" i="81"/>
  <c r="DO4" i="81"/>
  <c r="DP4" i="81"/>
  <c r="DQ4" i="81"/>
  <c r="DR4" i="81"/>
  <c r="DJ4" i="81"/>
  <c r="DK4" i="81"/>
  <c r="DL4" i="81"/>
  <c r="DM4" i="81"/>
  <c r="DE4" i="81"/>
  <c r="DF4" i="81"/>
  <c r="DG4" i="81"/>
  <c r="DH4" i="81"/>
  <c r="DC4" i="81"/>
  <c r="DB4" i="81"/>
  <c r="DA4" i="81"/>
  <c r="CZ4" i="81"/>
  <c r="CP4" i="81"/>
  <c r="CQ4" i="81"/>
  <c r="CR4" i="81"/>
  <c r="CS4" i="81"/>
  <c r="CK4" i="81"/>
  <c r="CL4" i="81"/>
  <c r="CM4" i="81"/>
  <c r="CN4" i="81"/>
  <c r="CF4" i="81"/>
  <c r="CG4" i="81"/>
  <c r="CH4" i="81"/>
  <c r="CI4" i="81"/>
  <c r="CD4" i="81"/>
  <c r="CC4" i="81"/>
  <c r="CB4" i="81"/>
  <c r="CA4" i="81"/>
  <c r="BQ4" i="81"/>
  <c r="BR4" i="81"/>
  <c r="BS4" i="81"/>
  <c r="BT4" i="81"/>
  <c r="BL4" i="81"/>
  <c r="BM4" i="81"/>
  <c r="BN4" i="81"/>
  <c r="BO4" i="81"/>
  <c r="BG4" i="81"/>
  <c r="BH4" i="81"/>
  <c r="BI4" i="81"/>
  <c r="BJ4" i="81"/>
  <c r="BE4" i="81"/>
  <c r="BD4" i="81"/>
  <c r="BC4" i="81"/>
  <c r="BB4" i="81"/>
  <c r="CO6" i="81"/>
  <c r="CT6" i="81" s="1"/>
  <c r="CY6" i="81" s="1"/>
  <c r="DD6" i="81" s="1"/>
  <c r="B31" i="73" l="1"/>
  <c r="B51" i="73"/>
  <c r="B48" i="73"/>
  <c r="B28" i="73"/>
  <c r="B34" i="73"/>
  <c r="B54" i="73"/>
  <c r="O47" i="73"/>
  <c r="O27" i="73"/>
  <c r="S27" i="73"/>
  <c r="S47" i="73"/>
  <c r="Q27" i="73"/>
  <c r="Q47" i="73"/>
  <c r="U27" i="73"/>
  <c r="U47" i="73"/>
  <c r="M27" i="73"/>
  <c r="M47" i="73"/>
  <c r="FL6" i="81"/>
  <c r="FQ6" i="81"/>
  <c r="DS6" i="81"/>
  <c r="DX6" i="81" s="1"/>
  <c r="EC6" i="81" s="1"/>
  <c r="EH6" i="81" s="1"/>
  <c r="ER6" i="81"/>
  <c r="EW6" i="81" s="1"/>
  <c r="FB6" i="81" s="1"/>
  <c r="FG6" i="81" s="1"/>
  <c r="EM6" i="81"/>
  <c r="G31" i="60"/>
  <c r="E19" i="60"/>
  <c r="D19" i="60"/>
  <c r="G19" i="60"/>
  <c r="D31" i="60"/>
  <c r="F31" i="60"/>
  <c r="C31" i="60"/>
  <c r="DI6" i="81"/>
  <c r="DN6" i="81"/>
  <c r="A399" i="93"/>
  <c r="J4" i="102" s="1"/>
  <c r="A398" i="93"/>
  <c r="A397" i="93"/>
  <c r="H4" i="102" s="1"/>
  <c r="A396" i="93"/>
  <c r="A395" i="93"/>
  <c r="F4" i="102" s="1"/>
  <c r="A394" i="93"/>
  <c r="A393" i="93"/>
  <c r="D4" i="102" s="1"/>
  <c r="A392" i="93"/>
  <c r="A476" i="93"/>
  <c r="A477" i="93"/>
  <c r="A478" i="93"/>
  <c r="B2" i="97" s="1"/>
  <c r="A479" i="93"/>
  <c r="A480" i="93"/>
  <c r="B2" i="98" s="1"/>
  <c r="A481" i="93"/>
  <c r="A483" i="93"/>
  <c r="A484" i="93"/>
  <c r="A485" i="93"/>
  <c r="A486" i="93"/>
  <c r="A487" i="93"/>
  <c r="A488" i="93"/>
  <c r="A489" i="93"/>
  <c r="A490" i="93"/>
  <c r="A491" i="93"/>
  <c r="A492" i="93"/>
  <c r="A493" i="93"/>
  <c r="A494" i="93"/>
  <c r="A495" i="93"/>
  <c r="A496" i="93"/>
  <c r="A497" i="93"/>
  <c r="A498" i="93"/>
  <c r="A499" i="93"/>
  <c r="C4" i="108" s="1"/>
  <c r="A500" i="93"/>
  <c r="D4" i="108" s="1"/>
  <c r="A501" i="93"/>
  <c r="E4" i="108" s="1"/>
  <c r="A502" i="93"/>
  <c r="F4" i="108" s="1"/>
  <c r="A503" i="93"/>
  <c r="G4" i="108" s="1"/>
  <c r="A504" i="93"/>
  <c r="H4" i="108" s="1"/>
  <c r="A505" i="93"/>
  <c r="I4" i="108" s="1"/>
  <c r="A506" i="93"/>
  <c r="J4" i="108" s="1"/>
  <c r="A507" i="93"/>
  <c r="K4" i="108" s="1"/>
  <c r="A508" i="93"/>
  <c r="L4" i="108" s="1"/>
  <c r="A509" i="93"/>
  <c r="M4" i="108" s="1"/>
  <c r="A510" i="93"/>
  <c r="N4" i="108" s="1"/>
  <c r="A511" i="93"/>
  <c r="O4" i="108" s="1"/>
  <c r="A512" i="93"/>
  <c r="P4" i="108" s="1"/>
  <c r="A513" i="93"/>
  <c r="Q4" i="108" s="1"/>
  <c r="A514" i="93"/>
  <c r="R4" i="108" s="1"/>
  <c r="A515" i="93"/>
  <c r="S4" i="108" s="1"/>
  <c r="A516" i="93"/>
  <c r="T4" i="108" s="1"/>
  <c r="A517" i="93"/>
  <c r="U4" i="108" s="1"/>
  <c r="A518" i="93"/>
  <c r="V4" i="108" s="1"/>
  <c r="A519" i="93"/>
  <c r="W4" i="108" s="1"/>
  <c r="A520" i="93"/>
  <c r="X4" i="108" s="1"/>
  <c r="A521" i="93"/>
  <c r="Y4" i="108" s="1"/>
  <c r="A522" i="93"/>
  <c r="Z4" i="108" s="1"/>
  <c r="A523" i="93"/>
  <c r="AA4" i="108" s="1"/>
  <c r="A524" i="93"/>
  <c r="C4" i="62" s="1"/>
  <c r="A525" i="93"/>
  <c r="D4" i="62" s="1"/>
  <c r="A526" i="93"/>
  <c r="E4" i="62" s="1"/>
  <c r="A527" i="93"/>
  <c r="A528" i="93"/>
  <c r="A532" i="93"/>
  <c r="A533" i="93"/>
  <c r="A534" i="93"/>
  <c r="A535" i="93"/>
  <c r="A536" i="93"/>
  <c r="A537" i="93"/>
  <c r="A538" i="93"/>
  <c r="B2" i="100" s="1"/>
  <c r="A539" i="93"/>
  <c r="B16" i="108" s="1"/>
  <c r="A540" i="93"/>
  <c r="B17" i="108" s="1"/>
  <c r="A541" i="93"/>
  <c r="B18" i="108" s="1"/>
  <c r="A542" i="93"/>
  <c r="B19" i="108" s="1"/>
  <c r="A543" i="93"/>
  <c r="B21" i="100" s="1"/>
  <c r="A544" i="93"/>
  <c r="B22" i="100" s="1"/>
  <c r="A545" i="93"/>
  <c r="A546" i="93"/>
  <c r="A547" i="93"/>
  <c r="A548" i="93"/>
  <c r="A549" i="93"/>
  <c r="A550" i="93"/>
  <c r="A551" i="93"/>
  <c r="A552" i="93"/>
  <c r="B22" i="108" s="1"/>
  <c r="A557" i="93"/>
  <c r="A558" i="93"/>
  <c r="A559" i="93"/>
  <c r="A560" i="93"/>
  <c r="A561" i="93"/>
  <c r="A562" i="93"/>
  <c r="A563" i="93"/>
  <c r="A564" i="93"/>
  <c r="A565" i="93"/>
  <c r="A566" i="93"/>
  <c r="A567" i="93"/>
  <c r="A568" i="93"/>
  <c r="A569" i="93"/>
  <c r="A570" i="93"/>
  <c r="A571" i="93"/>
  <c r="B16" i="111" s="1"/>
  <c r="A572" i="93"/>
  <c r="A573" i="93"/>
  <c r="B18" i="111" s="1"/>
  <c r="A574" i="93"/>
  <c r="A575" i="93"/>
  <c r="A576" i="93"/>
  <c r="A577" i="93"/>
  <c r="A578" i="93"/>
  <c r="A579" i="93"/>
  <c r="A580" i="93"/>
  <c r="A581" i="93"/>
  <c r="A582" i="93"/>
  <c r="A583" i="93"/>
  <c r="A584" i="93"/>
  <c r="A585" i="93"/>
  <c r="A586" i="93"/>
  <c r="A587" i="93"/>
  <c r="A588" i="93"/>
  <c r="A589" i="93"/>
  <c r="A590" i="93"/>
  <c r="A591" i="93"/>
  <c r="A592" i="93"/>
  <c r="A593" i="93"/>
  <c r="A594" i="93"/>
  <c r="A595" i="93"/>
  <c r="A596" i="93"/>
  <c r="A597" i="93"/>
  <c r="A598" i="93"/>
  <c r="A599" i="93"/>
  <c r="A600" i="93"/>
  <c r="A601" i="93"/>
  <c r="A602" i="93"/>
  <c r="A603" i="93"/>
  <c r="A604" i="93"/>
  <c r="A605" i="93"/>
  <c r="A606" i="93"/>
  <c r="B52" i="111" s="1"/>
  <c r="A609" i="93"/>
  <c r="A610" i="93"/>
  <c r="A611" i="93"/>
  <c r="B57" i="111" s="1"/>
  <c r="A612" i="93"/>
  <c r="A613" i="93"/>
  <c r="A614" i="93"/>
  <c r="A615" i="93"/>
  <c r="A616" i="93"/>
  <c r="A617" i="93"/>
  <c r="M4" i="111" s="1"/>
  <c r="A618" i="93"/>
  <c r="N4" i="111" s="1"/>
  <c r="A619" i="93"/>
  <c r="O4" i="111" s="1"/>
  <c r="A620" i="93"/>
  <c r="P4" i="111" s="1"/>
  <c r="A157" i="93"/>
  <c r="A156" i="93"/>
  <c r="A155" i="93"/>
  <c r="A154" i="93"/>
  <c r="AL4" i="51"/>
  <c r="B32" i="111" l="1"/>
  <c r="B23" i="65"/>
  <c r="B19" i="111"/>
  <c r="B21" i="111"/>
  <c r="B20" i="108"/>
  <c r="B11" i="108"/>
  <c r="B21" i="108"/>
  <c r="C4" i="103"/>
  <c r="C4" i="102"/>
  <c r="D34" i="102"/>
  <c r="D21" i="102"/>
  <c r="F34" i="102"/>
  <c r="F21" i="102"/>
  <c r="E4" i="103"/>
  <c r="G4" i="102"/>
  <c r="H21" i="102"/>
  <c r="H34" i="102"/>
  <c r="D4" i="103"/>
  <c r="E4" i="102"/>
  <c r="F4" i="103"/>
  <c r="I4" i="102"/>
  <c r="J21" i="102"/>
  <c r="J34" i="102"/>
  <c r="B2" i="108"/>
  <c r="B7" i="111"/>
  <c r="B38" i="65"/>
  <c r="B47" i="111"/>
  <c r="B30" i="65"/>
  <c r="B39" i="111"/>
  <c r="B22" i="65"/>
  <c r="B31" i="111"/>
  <c r="B14" i="65"/>
  <c r="B23" i="111"/>
  <c r="B7" i="65"/>
  <c r="B14" i="111"/>
  <c r="B3" i="65"/>
  <c r="B6" i="111"/>
  <c r="AI4" i="107"/>
  <c r="E4" i="111"/>
  <c r="AI4" i="108"/>
  <c r="AT4" i="107"/>
  <c r="AT4" i="108"/>
  <c r="B24" i="65"/>
  <c r="B33" i="111"/>
  <c r="B8" i="111"/>
  <c r="AC4" i="108"/>
  <c r="B31" i="65"/>
  <c r="B40" i="111"/>
  <c r="AJ4" i="107"/>
  <c r="F4" i="111"/>
  <c r="AJ4" i="108"/>
  <c r="AB4" i="108"/>
  <c r="B47" i="65"/>
  <c r="B56" i="111"/>
  <c r="B37" i="65"/>
  <c r="B46" i="111"/>
  <c r="B29" i="65"/>
  <c r="B38" i="111"/>
  <c r="B21" i="65"/>
  <c r="B30" i="111"/>
  <c r="B13" i="65"/>
  <c r="B22" i="111"/>
  <c r="B6" i="65"/>
  <c r="B13" i="111"/>
  <c r="AH4" i="107"/>
  <c r="D4" i="111"/>
  <c r="AH4" i="108"/>
  <c r="B32" i="65"/>
  <c r="B41" i="111"/>
  <c r="C4" i="68"/>
  <c r="H4" i="111"/>
  <c r="B36" i="65"/>
  <c r="B45" i="111"/>
  <c r="B28" i="65"/>
  <c r="B37" i="111"/>
  <c r="B20" i="65"/>
  <c r="B29" i="111"/>
  <c r="B11" i="65"/>
  <c r="B20" i="111"/>
  <c r="B5" i="65"/>
  <c r="B12" i="111"/>
  <c r="B4" i="111"/>
  <c r="AG4" i="107"/>
  <c r="C4" i="111"/>
  <c r="AG4" i="108"/>
  <c r="D4" i="68"/>
  <c r="I4" i="111"/>
  <c r="B39" i="65"/>
  <c r="B48" i="111"/>
  <c r="B15" i="65"/>
  <c r="B24" i="111"/>
  <c r="AQ4" i="107"/>
  <c r="AQ4" i="108"/>
  <c r="G4" i="68"/>
  <c r="L4" i="111"/>
  <c r="B35" i="65"/>
  <c r="B44" i="111"/>
  <c r="B27" i="65"/>
  <c r="B36" i="111"/>
  <c r="B19" i="65"/>
  <c r="B28" i="111"/>
  <c r="B11" i="111"/>
  <c r="B2" i="101"/>
  <c r="B20" i="100"/>
  <c r="B19" i="99"/>
  <c r="F4" i="68"/>
  <c r="K4" i="111"/>
  <c r="B26" i="65"/>
  <c r="B35" i="111"/>
  <c r="B18" i="65"/>
  <c r="B27" i="111"/>
  <c r="B10" i="111"/>
  <c r="AR4" i="107"/>
  <c r="AR4" i="108"/>
  <c r="B42" i="65"/>
  <c r="B51" i="111"/>
  <c r="B34" i="65"/>
  <c r="B43" i="111"/>
  <c r="B2" i="111"/>
  <c r="AE4" i="108"/>
  <c r="AS4" i="107"/>
  <c r="AS4" i="108"/>
  <c r="E4" i="68"/>
  <c r="J4" i="111"/>
  <c r="B41" i="65"/>
  <c r="B50" i="111"/>
  <c r="B33" i="65"/>
  <c r="B42" i="111"/>
  <c r="B25" i="65"/>
  <c r="B34" i="111"/>
  <c r="B17" i="65"/>
  <c r="B26" i="111"/>
  <c r="B9" i="65"/>
  <c r="B17" i="111"/>
  <c r="B4" i="65"/>
  <c r="B9" i="111"/>
  <c r="AD4" i="108"/>
  <c r="B40" i="65"/>
  <c r="B49" i="111"/>
  <c r="B25" i="111"/>
  <c r="AK4" i="107"/>
  <c r="G4" i="111"/>
  <c r="AK4" i="108"/>
  <c r="B15" i="111"/>
  <c r="M4" i="103"/>
  <c r="AQ5" i="106"/>
  <c r="CV5" i="106" s="1"/>
  <c r="AQ4" i="105"/>
  <c r="N4" i="103"/>
  <c r="AR5" i="106"/>
  <c r="CW5" i="106" s="1"/>
  <c r="AR4" i="105"/>
  <c r="O4" i="103"/>
  <c r="AS5" i="106"/>
  <c r="CX5" i="106" s="1"/>
  <c r="AS4" i="105"/>
  <c r="P4" i="103"/>
  <c r="AT5" i="106"/>
  <c r="CY5" i="106" s="1"/>
  <c r="AT4" i="105"/>
  <c r="AT4" i="100"/>
  <c r="P4" i="96"/>
  <c r="P4" i="98"/>
  <c r="P4" i="97"/>
  <c r="AT4" i="99"/>
  <c r="P4" i="94"/>
  <c r="P65" i="94" s="1"/>
  <c r="B16" i="101"/>
  <c r="B16" i="100"/>
  <c r="AH4" i="99"/>
  <c r="AH4" i="100"/>
  <c r="Z4" i="99"/>
  <c r="Z4" i="100"/>
  <c r="R4" i="99"/>
  <c r="R4" i="100"/>
  <c r="J4" i="99"/>
  <c r="J4" i="100"/>
  <c r="B21" i="99"/>
  <c r="AC22" i="98"/>
  <c r="U22" i="98"/>
  <c r="M22" i="98"/>
  <c r="E22" i="98"/>
  <c r="AB22" i="98"/>
  <c r="T22" i="98"/>
  <c r="L22" i="98"/>
  <c r="D22" i="98"/>
  <c r="AA22" i="98"/>
  <c r="S22" i="98"/>
  <c r="K22" i="98"/>
  <c r="C22" i="98"/>
  <c r="Z22" i="98"/>
  <c r="R22" i="98"/>
  <c r="J22" i="98"/>
  <c r="B2" i="99"/>
  <c r="Y22" i="98"/>
  <c r="Q22" i="98"/>
  <c r="I22" i="98"/>
  <c r="AF22" i="98"/>
  <c r="X22" i="98"/>
  <c r="P22" i="98"/>
  <c r="H22" i="98"/>
  <c r="AE22" i="98"/>
  <c r="W22" i="98"/>
  <c r="O22" i="98"/>
  <c r="G22" i="98"/>
  <c r="N22" i="98"/>
  <c r="AD22" i="98"/>
  <c r="V22" i="98"/>
  <c r="F22" i="98"/>
  <c r="I4" i="98"/>
  <c r="D4" i="98"/>
  <c r="D4" i="97"/>
  <c r="D4" i="96"/>
  <c r="D4" i="94"/>
  <c r="D65" i="94" s="1"/>
  <c r="AS4" i="99"/>
  <c r="AS4" i="100"/>
  <c r="O4" i="96"/>
  <c r="O4" i="98"/>
  <c r="O4" i="97"/>
  <c r="O4" i="94"/>
  <c r="O65" i="94" s="1"/>
  <c r="B15" i="101"/>
  <c r="B15" i="100"/>
  <c r="AG4" i="99"/>
  <c r="AG4" i="100"/>
  <c r="Y4" i="99"/>
  <c r="Y4" i="100"/>
  <c r="Q4" i="99"/>
  <c r="Q4" i="100"/>
  <c r="I4" i="99"/>
  <c r="I4" i="100"/>
  <c r="B20" i="99"/>
  <c r="X4" i="99"/>
  <c r="X4" i="100"/>
  <c r="P4" i="99"/>
  <c r="P4" i="100"/>
  <c r="H4" i="99"/>
  <c r="H4" i="100"/>
  <c r="B22" i="98"/>
  <c r="E4" i="98"/>
  <c r="E4" i="97"/>
  <c r="E4" i="96"/>
  <c r="E4" i="94"/>
  <c r="E65" i="94" s="1"/>
  <c r="AR4" i="99"/>
  <c r="AR4" i="100"/>
  <c r="N4" i="94"/>
  <c r="N65" i="94" s="1"/>
  <c r="AE4" i="100"/>
  <c r="AE4" i="99"/>
  <c r="W4" i="100"/>
  <c r="W4" i="99"/>
  <c r="O4" i="100"/>
  <c r="O4" i="99"/>
  <c r="G4" i="46"/>
  <c r="G4" i="100"/>
  <c r="G4" i="99"/>
  <c r="B19" i="100"/>
  <c r="B18" i="99"/>
  <c r="B19" i="98"/>
  <c r="AD4" i="100"/>
  <c r="AD4" i="99"/>
  <c r="V4" i="100"/>
  <c r="V4" i="99"/>
  <c r="N4" i="100"/>
  <c r="N4" i="99"/>
  <c r="F4" i="100"/>
  <c r="F4" i="99"/>
  <c r="B17" i="99"/>
  <c r="B18" i="98"/>
  <c r="N4" i="98"/>
  <c r="N4" i="97"/>
  <c r="N4" i="96"/>
  <c r="F4" i="98"/>
  <c r="F4" i="97"/>
  <c r="F4" i="96"/>
  <c r="F4" i="94"/>
  <c r="F65" i="94" s="1"/>
  <c r="AK4" i="99"/>
  <c r="AK4" i="100"/>
  <c r="AC4" i="99"/>
  <c r="AC4" i="100"/>
  <c r="U4" i="99"/>
  <c r="U4" i="100"/>
  <c r="M4" i="99"/>
  <c r="M4" i="100"/>
  <c r="E4" i="99"/>
  <c r="E4" i="100"/>
  <c r="B16" i="99"/>
  <c r="B17" i="98"/>
  <c r="M4" i="98"/>
  <c r="M4" i="97"/>
  <c r="M4" i="96"/>
  <c r="AQ4" i="99"/>
  <c r="AQ4" i="100"/>
  <c r="M4" i="94"/>
  <c r="M65" i="94" s="1"/>
  <c r="B18" i="100"/>
  <c r="B18" i="101"/>
  <c r="AJ4" i="99"/>
  <c r="AJ4" i="100"/>
  <c r="AB4" i="99"/>
  <c r="AB4" i="100"/>
  <c r="T4" i="99"/>
  <c r="T4" i="100"/>
  <c r="L4" i="99"/>
  <c r="L4" i="100"/>
  <c r="D4" i="99"/>
  <c r="D4" i="100"/>
  <c r="B15" i="99"/>
  <c r="B16" i="98"/>
  <c r="C4" i="98"/>
  <c r="C4" i="97"/>
  <c r="C4" i="96"/>
  <c r="C4" i="94"/>
  <c r="C65" i="94" s="1"/>
  <c r="B17" i="101"/>
  <c r="B17" i="100"/>
  <c r="AI4" i="99"/>
  <c r="AI4" i="100"/>
  <c r="AA4" i="99"/>
  <c r="AA4" i="100"/>
  <c r="S4" i="99"/>
  <c r="S4" i="100"/>
  <c r="K4" i="99"/>
  <c r="K4" i="100"/>
  <c r="C4" i="99"/>
  <c r="C4" i="100"/>
  <c r="B14" i="99"/>
  <c r="B15" i="98"/>
  <c r="B43" i="65"/>
  <c r="V4" i="46"/>
  <c r="L4" i="46"/>
  <c r="AA4" i="46"/>
  <c r="Q4" i="46"/>
  <c r="Z4" i="46"/>
  <c r="DN4" i="56"/>
  <c r="AG4" i="46"/>
  <c r="EW4" i="56"/>
  <c r="C4" i="84"/>
  <c r="Y4" i="46"/>
  <c r="DI4" i="56"/>
  <c r="I4" i="46"/>
  <c r="AG4" i="56"/>
  <c r="E4" i="84"/>
  <c r="FG4" i="56"/>
  <c r="AI4" i="46"/>
  <c r="CE4" i="56"/>
  <c r="S4" i="46"/>
  <c r="C4" i="56"/>
  <c r="C4" i="46"/>
  <c r="X4" i="46"/>
  <c r="DD4" i="56"/>
  <c r="P4" i="46"/>
  <c r="BP4" i="56"/>
  <c r="H4" i="46"/>
  <c r="AB4" i="56"/>
  <c r="R4" i="46"/>
  <c r="BZ4" i="56"/>
  <c r="J4" i="46"/>
  <c r="AL4" i="56"/>
  <c r="J4" i="84"/>
  <c r="EM4" i="56"/>
  <c r="W4" i="46"/>
  <c r="CY4" i="56"/>
  <c r="BK4" i="56"/>
  <c r="O4" i="46"/>
  <c r="K4" i="46"/>
  <c r="AQ4" i="56"/>
  <c r="K4" i="84"/>
  <c r="I4" i="84"/>
  <c r="FV4" i="56"/>
  <c r="AL4" i="46"/>
  <c r="EH4" i="56"/>
  <c r="AD4" i="46"/>
  <c r="N4" i="46"/>
  <c r="BF4" i="56"/>
  <c r="FJ4" i="56"/>
  <c r="FA4" i="56"/>
  <c r="EQ4" i="56"/>
  <c r="EF4" i="56"/>
  <c r="DL4" i="56"/>
  <c r="DC4" i="56"/>
  <c r="CP4" i="56"/>
  <c r="CN4" i="56"/>
  <c r="CC4" i="56"/>
  <c r="BI4" i="56"/>
  <c r="AR4" i="56"/>
  <c r="AP4" i="56"/>
  <c r="AE4" i="56"/>
  <c r="FM4" i="56"/>
  <c r="FK4" i="56"/>
  <c r="EZ4" i="56"/>
  <c r="EE4" i="56"/>
  <c r="DO4" i="56"/>
  <c r="DM4" i="56"/>
  <c r="DB4" i="56"/>
  <c r="CQ4" i="56"/>
  <c r="CB4" i="56"/>
  <c r="BL4" i="56"/>
  <c r="BJ4" i="56"/>
  <c r="AS4" i="56"/>
  <c r="AD4" i="56"/>
  <c r="FN4" i="56"/>
  <c r="EY4" i="56"/>
  <c r="EI4" i="56"/>
  <c r="ED4" i="56"/>
  <c r="DP4" i="56"/>
  <c r="DA4" i="56"/>
  <c r="CR4" i="56"/>
  <c r="CF4" i="56"/>
  <c r="CA4" i="56"/>
  <c r="BM4" i="56"/>
  <c r="AT4" i="56"/>
  <c r="AH4" i="56"/>
  <c r="AC4" i="56"/>
  <c r="FX4" i="56"/>
  <c r="DZ4" i="56"/>
  <c r="CL4" i="56"/>
  <c r="BB4" i="56"/>
  <c r="FW4" i="56"/>
  <c r="FO4" i="56"/>
  <c r="FC4" i="56"/>
  <c r="EX4" i="56"/>
  <c r="EJ4" i="56"/>
  <c r="DQ4" i="56"/>
  <c r="DE4" i="56"/>
  <c r="CZ4" i="56"/>
  <c r="CS4" i="56"/>
  <c r="CG4" i="56"/>
  <c r="BN4" i="56"/>
  <c r="BE4" i="56"/>
  <c r="AU4" i="56"/>
  <c r="AI4" i="56"/>
  <c r="V4" i="56"/>
  <c r="FF4" i="56"/>
  <c r="DJ4" i="56"/>
  <c r="AN4" i="56"/>
  <c r="F4" i="46"/>
  <c r="FZ4" i="56"/>
  <c r="FP4" i="56"/>
  <c r="FD4" i="56"/>
  <c r="EK4" i="56"/>
  <c r="EB4" i="56"/>
  <c r="DR4" i="56"/>
  <c r="DF4" i="56"/>
  <c r="CH4" i="56"/>
  <c r="BQ4" i="56"/>
  <c r="BO4" i="56"/>
  <c r="BD4" i="56"/>
  <c r="AJ4" i="56"/>
  <c r="U4" i="56"/>
  <c r="FH4" i="56"/>
  <c r="BS4" i="56"/>
  <c r="FI4" i="56"/>
  <c r="FY4" i="56"/>
  <c r="FE4" i="56"/>
  <c r="EN4" i="56"/>
  <c r="EL4" i="56"/>
  <c r="EA4" i="56"/>
  <c r="DG4" i="56"/>
  <c r="CK4" i="56"/>
  <c r="CI4" i="56"/>
  <c r="BR4" i="56"/>
  <c r="BC4" i="56"/>
  <c r="AM4" i="56"/>
  <c r="AK4" i="56"/>
  <c r="T4" i="56"/>
  <c r="EO4" i="56"/>
  <c r="DH4" i="56"/>
  <c r="BG4" i="56"/>
  <c r="S4" i="56"/>
  <c r="CD4" i="56"/>
  <c r="EP4" i="56"/>
  <c r="BT4" i="56"/>
  <c r="CM4" i="56"/>
  <c r="EG4" i="56"/>
  <c r="BH4" i="56"/>
  <c r="DY4" i="56"/>
  <c r="DK4" i="56"/>
  <c r="AO4" i="56"/>
  <c r="AF4" i="56"/>
  <c r="R4" i="56"/>
  <c r="AH4" i="46"/>
  <c r="D4" i="84"/>
  <c r="FB4" i="56"/>
  <c r="L4" i="84"/>
  <c r="H4" i="84"/>
  <c r="G4" i="84"/>
  <c r="AK4" i="46"/>
  <c r="EC4" i="56"/>
  <c r="AC4" i="46"/>
  <c r="U4" i="46"/>
  <c r="CO4" i="56"/>
  <c r="BA4" i="56"/>
  <c r="M4" i="46"/>
  <c r="M4" i="56"/>
  <c r="E4" i="46"/>
  <c r="F4" i="84"/>
  <c r="FL4" i="56"/>
  <c r="AJ4" i="46"/>
  <c r="DX4" i="56"/>
  <c r="AB4" i="46"/>
  <c r="CJ4" i="56"/>
  <c r="T4" i="46"/>
  <c r="H4" i="56"/>
  <c r="D4" i="46"/>
  <c r="AI4" i="55"/>
  <c r="E4" i="67"/>
  <c r="AI4" i="51"/>
  <c r="L4" i="58"/>
  <c r="AA4" i="42"/>
  <c r="AA4" i="51"/>
  <c r="D4" i="58"/>
  <c r="S4" i="42"/>
  <c r="S4" i="51"/>
  <c r="K4" i="42"/>
  <c r="K4" i="51"/>
  <c r="K4" i="50"/>
  <c r="C4" i="51"/>
  <c r="C4" i="42"/>
  <c r="C4" i="50"/>
  <c r="D4" i="67"/>
  <c r="AH4" i="51"/>
  <c r="K4" i="58"/>
  <c r="Z4" i="51"/>
  <c r="Z4" i="42"/>
  <c r="C4" i="58"/>
  <c r="R4" i="51"/>
  <c r="R4" i="42"/>
  <c r="J4" i="50"/>
  <c r="J4" i="51"/>
  <c r="J4" i="42"/>
  <c r="C4" i="67"/>
  <c r="AG4" i="51"/>
  <c r="J4" i="58"/>
  <c r="Y4" i="51"/>
  <c r="Y4" i="42"/>
  <c r="Q4" i="50"/>
  <c r="Q4" i="51"/>
  <c r="Q4" i="42"/>
  <c r="I4" i="50"/>
  <c r="I4" i="51"/>
  <c r="I4" i="42"/>
  <c r="I4" i="58"/>
  <c r="X4" i="51"/>
  <c r="X4" i="42"/>
  <c r="P4" i="42"/>
  <c r="P4" i="50"/>
  <c r="P4" i="51"/>
  <c r="H4" i="50"/>
  <c r="H4" i="42"/>
  <c r="H4" i="51"/>
  <c r="W4" i="42"/>
  <c r="H4" i="58"/>
  <c r="W4" i="51"/>
  <c r="O4" i="50"/>
  <c r="O4" i="42"/>
  <c r="O4" i="51"/>
  <c r="G4" i="50"/>
  <c r="G4" i="51"/>
  <c r="G4" i="42"/>
  <c r="E4" i="64"/>
  <c r="AD4" i="51"/>
  <c r="V4" i="51"/>
  <c r="V4" i="42"/>
  <c r="G4" i="58"/>
  <c r="N4" i="50"/>
  <c r="N4" i="51"/>
  <c r="N4" i="42"/>
  <c r="F4" i="51"/>
  <c r="F4" i="42"/>
  <c r="F4" i="50"/>
  <c r="G4" i="67"/>
  <c r="AK4" i="51"/>
  <c r="D4" i="64"/>
  <c r="AC4" i="51"/>
  <c r="U4" i="42"/>
  <c r="U4" i="51"/>
  <c r="F4" i="58"/>
  <c r="M4" i="42"/>
  <c r="M4" i="51"/>
  <c r="M4" i="50"/>
  <c r="E4" i="42"/>
  <c r="E4" i="51"/>
  <c r="E4" i="50"/>
  <c r="AJ4" i="55"/>
  <c r="F4" i="67"/>
  <c r="AJ4" i="51"/>
  <c r="C4" i="64"/>
  <c r="AB4" i="51"/>
  <c r="E4" i="58"/>
  <c r="T4" i="42"/>
  <c r="T4" i="51"/>
  <c r="L4" i="51"/>
  <c r="L4" i="42"/>
  <c r="L4" i="50"/>
  <c r="D4" i="42"/>
  <c r="D4" i="50"/>
  <c r="D4" i="51"/>
  <c r="K4" i="55"/>
  <c r="C4" i="55"/>
  <c r="AH4" i="55"/>
  <c r="Z4" i="55"/>
  <c r="R4" i="55"/>
  <c r="J4" i="55"/>
  <c r="AG4" i="55"/>
  <c r="AF4" i="55"/>
  <c r="X4" i="55"/>
  <c r="P4" i="55"/>
  <c r="H4" i="55"/>
  <c r="AA4" i="55"/>
  <c r="AE4" i="55"/>
  <c r="W4" i="55"/>
  <c r="O4" i="55"/>
  <c r="G4" i="55"/>
  <c r="Y4" i="55"/>
  <c r="AD4" i="55"/>
  <c r="V4" i="55"/>
  <c r="N4" i="55"/>
  <c r="F4" i="55"/>
  <c r="S4" i="55"/>
  <c r="I4" i="55"/>
  <c r="AL4" i="55"/>
  <c r="AK4" i="55"/>
  <c r="AC4" i="55"/>
  <c r="U4" i="55"/>
  <c r="M4" i="55"/>
  <c r="E4" i="55"/>
  <c r="Q4" i="55"/>
  <c r="AB4" i="55"/>
  <c r="T4" i="55"/>
  <c r="L4" i="55"/>
  <c r="D4" i="55"/>
  <c r="C4" i="81"/>
  <c r="I4" i="81"/>
  <c r="D4" i="81"/>
  <c r="AC4" i="81"/>
  <c r="H4" i="81"/>
  <c r="X4" i="81"/>
  <c r="N4" i="81"/>
  <c r="S4" i="81"/>
  <c r="BF4" i="81"/>
  <c r="AD4" i="81"/>
  <c r="O4" i="81"/>
  <c r="J4" i="81"/>
  <c r="E4" i="81"/>
  <c r="Y4" i="81"/>
  <c r="M4" i="81"/>
  <c r="T4" i="81"/>
  <c r="BA4" i="81"/>
  <c r="BK4" i="81"/>
  <c r="U4" i="81"/>
  <c r="AE4" i="81"/>
  <c r="K4" i="81"/>
  <c r="Z4" i="81"/>
  <c r="R4" i="81"/>
  <c r="P4" i="81"/>
  <c r="F4" i="81"/>
  <c r="BP4" i="81"/>
  <c r="I21" i="102" l="1"/>
  <c r="I34" i="102"/>
  <c r="E34" i="102"/>
  <c r="E21" i="102"/>
  <c r="C34" i="102"/>
  <c r="C21" i="102"/>
  <c r="G21" i="102"/>
  <c r="G34" i="102"/>
  <c r="N49" i="55"/>
  <c r="Z49" i="55"/>
  <c r="AB49" i="55"/>
  <c r="U49" i="55"/>
  <c r="V49" i="55"/>
  <c r="O49" i="55"/>
  <c r="AG49" i="55"/>
  <c r="T49" i="55"/>
  <c r="AH49" i="55"/>
  <c r="AL49" i="55"/>
  <c r="Q49" i="55"/>
  <c r="AC49" i="55"/>
  <c r="S49" i="55"/>
  <c r="AD49" i="55"/>
  <c r="W49" i="55"/>
  <c r="P49" i="55"/>
  <c r="AA49" i="55"/>
  <c r="M49" i="55"/>
  <c r="AK49" i="55"/>
  <c r="Y49" i="55"/>
  <c r="X49" i="55"/>
  <c r="AJ49" i="55"/>
  <c r="AI49" i="55"/>
  <c r="R49" i="55"/>
  <c r="AE49" i="55"/>
  <c r="AF49" i="55"/>
  <c r="A326" i="93" l="1"/>
  <c r="B79" i="94" s="1"/>
  <c r="A325" i="93"/>
  <c r="B78" i="94" s="1"/>
  <c r="A327" i="93"/>
  <c r="B80" i="94" s="1"/>
  <c r="A328" i="93"/>
  <c r="B81" i="94" s="1"/>
  <c r="A329" i="93"/>
  <c r="B82" i="94" s="1"/>
  <c r="A330" i="93"/>
  <c r="A331" i="93"/>
  <c r="A332" i="93"/>
  <c r="A333" i="93"/>
  <c r="B2" i="102" s="1"/>
  <c r="A334" i="93"/>
  <c r="A335" i="93"/>
  <c r="B4" i="102" s="1"/>
  <c r="A336" i="93"/>
  <c r="B5" i="102" s="1"/>
  <c r="A337" i="93"/>
  <c r="B6" i="102" s="1"/>
  <c r="A338" i="93"/>
  <c r="B7" i="102" s="1"/>
  <c r="A339" i="93"/>
  <c r="B8" i="102" s="1"/>
  <c r="A340" i="93"/>
  <c r="B9" i="102" s="1"/>
  <c r="A341" i="93"/>
  <c r="B10" i="102" s="1"/>
  <c r="A342" i="93"/>
  <c r="B11" i="102" s="1"/>
  <c r="A343" i="93"/>
  <c r="B12" i="102" s="1"/>
  <c r="A344" i="93"/>
  <c r="B13" i="102" s="1"/>
  <c r="A345" i="93"/>
  <c r="B14" i="102" s="1"/>
  <c r="A346" i="93"/>
  <c r="B15" i="102" s="1"/>
  <c r="A347" i="93"/>
  <c r="A348" i="93"/>
  <c r="A349" i="93"/>
  <c r="A350" i="93"/>
  <c r="B19" i="102" s="1"/>
  <c r="A351" i="93"/>
  <c r="A352" i="93"/>
  <c r="B21" i="102" s="1"/>
  <c r="A353" i="93"/>
  <c r="B22" i="102" s="1"/>
  <c r="A354" i="93"/>
  <c r="B23" i="102" s="1"/>
  <c r="A355" i="93"/>
  <c r="B24" i="102" s="1"/>
  <c r="A356" i="93"/>
  <c r="B25" i="102" s="1"/>
  <c r="A357" i="93"/>
  <c r="B26" i="102" s="1"/>
  <c r="A358" i="93"/>
  <c r="B27" i="102" s="1"/>
  <c r="A359" i="93"/>
  <c r="B28" i="102" s="1"/>
  <c r="A360" i="93"/>
  <c r="A361" i="93"/>
  <c r="A362" i="93"/>
  <c r="A363" i="93"/>
  <c r="B32" i="102" s="1"/>
  <c r="A364" i="93"/>
  <c r="A365" i="93"/>
  <c r="B34" i="102" s="1"/>
  <c r="A366" i="93"/>
  <c r="B35" i="102" s="1"/>
  <c r="A367" i="93"/>
  <c r="B36" i="102" s="1"/>
  <c r="A368" i="93"/>
  <c r="B37" i="102" s="1"/>
  <c r="A369" i="93"/>
  <c r="B38" i="102" s="1"/>
  <c r="A370" i="93"/>
  <c r="B39" i="102" s="1"/>
  <c r="A371" i="93"/>
  <c r="B40" i="102" s="1"/>
  <c r="A372" i="93"/>
  <c r="B41" i="102" s="1"/>
  <c r="A373" i="93"/>
  <c r="B42" i="102" s="1"/>
  <c r="A374" i="93"/>
  <c r="B43" i="102" s="1"/>
  <c r="A375" i="93"/>
  <c r="B44" i="102" s="1"/>
  <c r="A376" i="93"/>
  <c r="A377" i="93"/>
  <c r="B46" i="102" s="1"/>
  <c r="A378" i="93"/>
  <c r="B47" i="102" s="1"/>
  <c r="A379" i="93"/>
  <c r="A380" i="93"/>
  <c r="A381" i="93"/>
  <c r="B50" i="102" s="1"/>
  <c r="A382" i="93"/>
  <c r="A383" i="93"/>
  <c r="B52" i="102" s="1"/>
  <c r="A384" i="93"/>
  <c r="B53" i="102" s="1"/>
  <c r="A385" i="93"/>
  <c r="B54" i="102" s="1"/>
  <c r="A386" i="93"/>
  <c r="B55" i="102" s="1"/>
  <c r="A387" i="93"/>
  <c r="B56" i="102" s="1"/>
  <c r="A388" i="93"/>
  <c r="B57" i="102" s="1"/>
  <c r="A389" i="93"/>
  <c r="B58" i="102" s="1"/>
  <c r="A390" i="93"/>
  <c r="B59" i="102" s="1"/>
  <c r="A391" i="93"/>
  <c r="B60" i="102" s="1"/>
  <c r="A400" i="93"/>
  <c r="A401" i="93"/>
  <c r="L4" i="102" s="1"/>
  <c r="A402" i="93"/>
  <c r="A403" i="93"/>
  <c r="N4" i="102" s="1"/>
  <c r="A404" i="93"/>
  <c r="O4" i="102" s="1"/>
  <c r="A405" i="93"/>
  <c r="P4" i="102" s="1"/>
  <c r="A406" i="93"/>
  <c r="Q4" i="102" s="1"/>
  <c r="A407" i="93"/>
  <c r="R4" i="102" s="1"/>
  <c r="A408" i="93"/>
  <c r="S4" i="102" s="1"/>
  <c r="A409" i="93"/>
  <c r="T4" i="102" s="1"/>
  <c r="A410" i="93"/>
  <c r="U4" i="102" s="1"/>
  <c r="A411" i="93"/>
  <c r="V4" i="102" s="1"/>
  <c r="A412" i="93"/>
  <c r="W4" i="102" s="1"/>
  <c r="A413" i="93"/>
  <c r="X4" i="102" s="1"/>
  <c r="A414" i="93"/>
  <c r="Y4" i="102" s="1"/>
  <c r="A415" i="93"/>
  <c r="Z4" i="102" s="1"/>
  <c r="A416" i="93"/>
  <c r="AA4" i="102" s="1"/>
  <c r="A417" i="93"/>
  <c r="AB4" i="102" s="1"/>
  <c r="A418" i="93"/>
  <c r="AC4" i="102" s="1"/>
  <c r="A419" i="93"/>
  <c r="AD4" i="102" s="1"/>
  <c r="A420" i="93"/>
  <c r="AE4" i="102" s="1"/>
  <c r="A421" i="93"/>
  <c r="AF4" i="102" s="1"/>
  <c r="A422" i="93"/>
  <c r="AG4" i="102" s="1"/>
  <c r="A423" i="93"/>
  <c r="AH4" i="102" s="1"/>
  <c r="A424" i="93"/>
  <c r="AI4" i="102" s="1"/>
  <c r="A425" i="93"/>
  <c r="AJ4" i="102" s="1"/>
  <c r="A426" i="93"/>
  <c r="AK4" i="102" s="1"/>
  <c r="A427" i="93"/>
  <c r="AL4" i="102" s="1"/>
  <c r="A428" i="93"/>
  <c r="AM4" i="102" s="1"/>
  <c r="A429" i="93"/>
  <c r="AN4" i="102" s="1"/>
  <c r="A430" i="93"/>
  <c r="AO4" i="102" s="1"/>
  <c r="A431" i="93"/>
  <c r="AP4" i="102" s="1"/>
  <c r="A432" i="93"/>
  <c r="AQ4" i="102" s="1"/>
  <c r="A433" i="93"/>
  <c r="AR4" i="102" s="1"/>
  <c r="A434" i="93"/>
  <c r="AS4" i="102" s="1"/>
  <c r="A435" i="93"/>
  <c r="AT4" i="102" s="1"/>
  <c r="A436" i="93"/>
  <c r="AU4" i="102" s="1"/>
  <c r="A437" i="93"/>
  <c r="AV4" i="102" s="1"/>
  <c r="A438" i="93"/>
  <c r="AW4" i="102" s="1"/>
  <c r="A439" i="93"/>
  <c r="AX4" i="102" s="1"/>
  <c r="A440" i="93"/>
  <c r="AY4" i="102" s="1"/>
  <c r="A441" i="93"/>
  <c r="AZ4" i="102" s="1"/>
  <c r="A442" i="93"/>
  <c r="BA4" i="102" s="1"/>
  <c r="A443" i="93"/>
  <c r="BB4" i="102" s="1"/>
  <c r="A444" i="93"/>
  <c r="BC4" i="102" s="1"/>
  <c r="A445" i="93"/>
  <c r="BD4" i="102" s="1"/>
  <c r="A446" i="93"/>
  <c r="BE4" i="102" s="1"/>
  <c r="A447" i="93"/>
  <c r="BF4" i="102" s="1"/>
  <c r="A448" i="93"/>
  <c r="BG4" i="102" s="1"/>
  <c r="A449" i="93"/>
  <c r="BH4" i="102" s="1"/>
  <c r="A450" i="93"/>
  <c r="BI4" i="102" s="1"/>
  <c r="A451" i="93"/>
  <c r="BJ4" i="102" s="1"/>
  <c r="A452" i="93"/>
  <c r="A453" i="93"/>
  <c r="B2" i="96" s="1"/>
  <c r="A454" i="93"/>
  <c r="A455" i="93"/>
  <c r="B4" i="108" s="1"/>
  <c r="A456" i="93"/>
  <c r="A457" i="93"/>
  <c r="A458" i="93"/>
  <c r="A459" i="93"/>
  <c r="A460" i="93"/>
  <c r="A461" i="93"/>
  <c r="A462" i="93"/>
  <c r="A463" i="93"/>
  <c r="B13" i="108" s="1"/>
  <c r="A464" i="93"/>
  <c r="A465" i="93"/>
  <c r="A466" i="93"/>
  <c r="A467" i="93"/>
  <c r="A468" i="93"/>
  <c r="A469" i="93"/>
  <c r="A470" i="93"/>
  <c r="A471" i="93"/>
  <c r="A472" i="93"/>
  <c r="A473" i="93"/>
  <c r="A474" i="93"/>
  <c r="A475" i="93"/>
  <c r="A621" i="93"/>
  <c r="Q4" i="111" s="1"/>
  <c r="A622" i="93"/>
  <c r="A623" i="93"/>
  <c r="A624" i="93"/>
  <c r="A625" i="93"/>
  <c r="A626" i="93"/>
  <c r="A627" i="93"/>
  <c r="A628" i="93"/>
  <c r="A629" i="93"/>
  <c r="A630" i="93"/>
  <c r="A631" i="93"/>
  <c r="A632" i="93"/>
  <c r="A634" i="93"/>
  <c r="A635" i="93"/>
  <c r="B14" i="112" s="1"/>
  <c r="A636" i="93"/>
  <c r="A637" i="93"/>
  <c r="A638" i="93"/>
  <c r="A639" i="93"/>
  <c r="A640" i="93"/>
  <c r="A641" i="93"/>
  <c r="A642" i="93"/>
  <c r="A643" i="93"/>
  <c r="B22" i="112" s="1"/>
  <c r="A644" i="93"/>
  <c r="A645" i="93"/>
  <c r="A646" i="93"/>
  <c r="A647" i="93"/>
  <c r="A648" i="93"/>
  <c r="A649" i="93"/>
  <c r="A650" i="93"/>
  <c r="A651" i="93"/>
  <c r="A652" i="93"/>
  <c r="A653" i="93"/>
  <c r="B32" i="112" s="1"/>
  <c r="A654" i="93"/>
  <c r="B33" i="112" s="1"/>
  <c r="A655" i="93"/>
  <c r="B34" i="112" s="1"/>
  <c r="A656" i="93"/>
  <c r="A657" i="93"/>
  <c r="A658" i="93"/>
  <c r="A659" i="93"/>
  <c r="A660" i="93"/>
  <c r="A661" i="93"/>
  <c r="A662" i="93"/>
  <c r="A663" i="93"/>
  <c r="A664" i="93"/>
  <c r="A665" i="93"/>
  <c r="A666" i="93"/>
  <c r="A667" i="93"/>
  <c r="B46" i="112" s="1"/>
  <c r="A668" i="93"/>
  <c r="A669" i="93"/>
  <c r="A670" i="93"/>
  <c r="A671" i="93"/>
  <c r="A672" i="93"/>
  <c r="A673" i="93"/>
  <c r="A674" i="93"/>
  <c r="A675" i="93"/>
  <c r="A676" i="93"/>
  <c r="A677" i="93"/>
  <c r="A678" i="93"/>
  <c r="A679" i="93"/>
  <c r="A680" i="93"/>
  <c r="A681" i="93"/>
  <c r="A682" i="93"/>
  <c r="A683" i="93"/>
  <c r="A684" i="93"/>
  <c r="A685" i="93"/>
  <c r="A686" i="93"/>
  <c r="A687" i="93"/>
  <c r="A688" i="93"/>
  <c r="A689" i="93"/>
  <c r="A690" i="93"/>
  <c r="A691" i="93"/>
  <c r="A692" i="93"/>
  <c r="A693" i="93"/>
  <c r="A694" i="93"/>
  <c r="A695" i="93"/>
  <c r="B10" i="83" s="1"/>
  <c r="A696" i="93"/>
  <c r="A697" i="93"/>
  <c r="A698" i="93"/>
  <c r="A699" i="93"/>
  <c r="A700" i="93"/>
  <c r="A701" i="93"/>
  <c r="A702" i="93"/>
  <c r="A703" i="93"/>
  <c r="A704" i="93"/>
  <c r="A707" i="93"/>
  <c r="A708" i="93"/>
  <c r="A709" i="93"/>
  <c r="A710" i="93"/>
  <c r="A711" i="93"/>
  <c r="A712" i="93"/>
  <c r="B29" i="113" s="1"/>
  <c r="A713" i="93"/>
  <c r="B30" i="113" s="1"/>
  <c r="A714" i="93"/>
  <c r="B31" i="113" s="1"/>
  <c r="A715" i="93"/>
  <c r="B32" i="113" s="1"/>
  <c r="A716" i="93"/>
  <c r="B33" i="113" s="1"/>
  <c r="A718" i="93"/>
  <c r="B34" i="113" s="1"/>
  <c r="A719" i="93"/>
  <c r="B35" i="113" s="1"/>
  <c r="A720" i="93"/>
  <c r="A721" i="93"/>
  <c r="A722" i="93"/>
  <c r="A723" i="93"/>
  <c r="A724" i="93"/>
  <c r="A725" i="93"/>
  <c r="A726" i="93"/>
  <c r="A727" i="93"/>
  <c r="B44" i="113" s="1"/>
  <c r="A728" i="93"/>
  <c r="A729" i="93"/>
  <c r="A730" i="93"/>
  <c r="A731" i="93"/>
  <c r="A732" i="93"/>
  <c r="A733" i="93"/>
  <c r="A734" i="93"/>
  <c r="A735" i="93"/>
  <c r="A736" i="93"/>
  <c r="A737" i="93"/>
  <c r="A738" i="93"/>
  <c r="A739" i="93"/>
  <c r="A740" i="93"/>
  <c r="A741" i="93"/>
  <c r="A4" i="80" s="1"/>
  <c r="A742" i="93"/>
  <c r="A743" i="93"/>
  <c r="B2" i="81" s="1"/>
  <c r="A744" i="93"/>
  <c r="A745" i="93"/>
  <c r="B4" i="81" s="1"/>
  <c r="A746" i="93"/>
  <c r="A747" i="93"/>
  <c r="A748" i="93"/>
  <c r="A749" i="93"/>
  <c r="B8" i="81" s="1"/>
  <c r="A750" i="93"/>
  <c r="A751" i="93"/>
  <c r="B11" i="81" s="1"/>
  <c r="A752" i="93"/>
  <c r="B12" i="81" s="1"/>
  <c r="A753" i="93"/>
  <c r="B13" i="81" s="1"/>
  <c r="A754" i="93"/>
  <c r="B14" i="81" s="1"/>
  <c r="A755" i="93"/>
  <c r="B15" i="81" s="1"/>
  <c r="A756" i="93"/>
  <c r="B16" i="81" s="1"/>
  <c r="A757" i="93"/>
  <c r="B17" i="81" s="1"/>
  <c r="A758" i="93"/>
  <c r="B18" i="81" s="1"/>
  <c r="A759" i="93"/>
  <c r="B19" i="81" s="1"/>
  <c r="A760" i="93"/>
  <c r="B20" i="81" s="1"/>
  <c r="A761" i="93"/>
  <c r="B21" i="81" s="1"/>
  <c r="A762" i="93"/>
  <c r="B22" i="81" s="1"/>
  <c r="A763" i="93"/>
  <c r="B23" i="81" s="1"/>
  <c r="A764" i="93"/>
  <c r="A765" i="93"/>
  <c r="B25" i="81" s="1"/>
  <c r="A766" i="93"/>
  <c r="B26" i="81" s="1"/>
  <c r="A767" i="93"/>
  <c r="B27" i="81" s="1"/>
  <c r="A768" i="93"/>
  <c r="B28" i="81" s="1"/>
  <c r="A769" i="93"/>
  <c r="B29" i="81" s="1"/>
  <c r="A770" i="93"/>
  <c r="B30" i="81" s="1"/>
  <c r="A771" i="93"/>
  <c r="B31" i="81" s="1"/>
  <c r="A772" i="93"/>
  <c r="B32" i="81" s="1"/>
  <c r="A773" i="93"/>
  <c r="B33" i="81" s="1"/>
  <c r="A774" i="93"/>
  <c r="B34" i="81" s="1"/>
  <c r="A775" i="93"/>
  <c r="B35" i="81" s="1"/>
  <c r="A776" i="93"/>
  <c r="B36" i="81" s="1"/>
  <c r="A777" i="93"/>
  <c r="B37" i="81" s="1"/>
  <c r="A778" i="93"/>
  <c r="B38" i="81" s="1"/>
  <c r="A779" i="93"/>
  <c r="B39" i="81" s="1"/>
  <c r="A780" i="93"/>
  <c r="B40" i="81" s="1"/>
  <c r="A781" i="93"/>
  <c r="B41" i="81" s="1"/>
  <c r="A782" i="93"/>
  <c r="B42" i="81" s="1"/>
  <c r="A783" i="93"/>
  <c r="B43" i="81" s="1"/>
  <c r="A784" i="93"/>
  <c r="B44" i="81" s="1"/>
  <c r="A785" i="93"/>
  <c r="B45" i="81" s="1"/>
  <c r="A786" i="93"/>
  <c r="B46" i="81" s="1"/>
  <c r="A787" i="93"/>
  <c r="A788" i="93"/>
  <c r="B48" i="81" s="1"/>
  <c r="A789" i="93"/>
  <c r="B49" i="81" s="1"/>
  <c r="A790" i="93"/>
  <c r="A791" i="93"/>
  <c r="A792" i="93"/>
  <c r="A793" i="93"/>
  <c r="A794" i="93"/>
  <c r="A795" i="93"/>
  <c r="DE6" i="81" s="1"/>
  <c r="A796" i="93"/>
  <c r="AV4" i="81" s="1"/>
  <c r="A797" i="93"/>
  <c r="BU4" i="81" s="1"/>
  <c r="A798" i="93"/>
  <c r="CT4" i="81" s="1"/>
  <c r="A799" i="93"/>
  <c r="DS4" i="81" s="1"/>
  <c r="A800" i="93"/>
  <c r="A802" i="93"/>
  <c r="A803" i="93"/>
  <c r="A804" i="93"/>
  <c r="A805" i="93"/>
  <c r="A806" i="93"/>
  <c r="A807" i="93"/>
  <c r="A808" i="93"/>
  <c r="A809" i="93"/>
  <c r="A810" i="93"/>
  <c r="A811" i="93"/>
  <c r="A812" i="93"/>
  <c r="A813" i="93"/>
  <c r="A814" i="93"/>
  <c r="A815" i="93"/>
  <c r="A816" i="93"/>
  <c r="A817" i="93"/>
  <c r="A818" i="93"/>
  <c r="A819" i="93"/>
  <c r="A820" i="93"/>
  <c r="A821" i="93"/>
  <c r="A822" i="93"/>
  <c r="A823" i="93"/>
  <c r="A824" i="93"/>
  <c r="A825" i="93"/>
  <c r="A826" i="93"/>
  <c r="A827" i="93"/>
  <c r="A828" i="93"/>
  <c r="A829" i="93"/>
  <c r="A830" i="93"/>
  <c r="A831" i="93"/>
  <c r="A832" i="93"/>
  <c r="A833" i="93"/>
  <c r="A834" i="93"/>
  <c r="A835" i="93"/>
  <c r="A836" i="93"/>
  <c r="A837" i="93"/>
  <c r="A838" i="93"/>
  <c r="A839" i="93"/>
  <c r="A840" i="93"/>
  <c r="A841" i="93"/>
  <c r="A842" i="93"/>
  <c r="A843" i="93"/>
  <c r="A844" i="93"/>
  <c r="A845" i="93"/>
  <c r="A846" i="93"/>
  <c r="A847" i="93"/>
  <c r="A848" i="93"/>
  <c r="A849" i="93"/>
  <c r="A850" i="93"/>
  <c r="A851" i="93"/>
  <c r="A852" i="93"/>
  <c r="A853" i="93"/>
  <c r="A854" i="93"/>
  <c r="A855" i="93"/>
  <c r="A856" i="93"/>
  <c r="A857" i="93"/>
  <c r="A858" i="93"/>
  <c r="A859" i="93"/>
  <c r="A860" i="93"/>
  <c r="A861" i="93"/>
  <c r="A862" i="93"/>
  <c r="A863" i="93"/>
  <c r="A864" i="93"/>
  <c r="A865" i="93"/>
  <c r="A866" i="93"/>
  <c r="A867" i="93"/>
  <c r="A868" i="93"/>
  <c r="A869" i="93"/>
  <c r="A870" i="93"/>
  <c r="A871" i="93"/>
  <c r="A872" i="93"/>
  <c r="A873" i="93"/>
  <c r="A874" i="93"/>
  <c r="A875" i="93"/>
  <c r="A876" i="93"/>
  <c r="A877" i="93"/>
  <c r="A878" i="93"/>
  <c r="A879" i="93"/>
  <c r="A880" i="93"/>
  <c r="A881" i="93"/>
  <c r="A882" i="93"/>
  <c r="A883" i="93"/>
  <c r="A884" i="93"/>
  <c r="A885" i="93"/>
  <c r="A886" i="93"/>
  <c r="A887" i="93"/>
  <c r="A888" i="93"/>
  <c r="A889" i="93"/>
  <c r="A890" i="93"/>
  <c r="A891" i="93"/>
  <c r="A892" i="93"/>
  <c r="A893" i="93"/>
  <c r="A894" i="93"/>
  <c r="A895" i="93"/>
  <c r="A896" i="93"/>
  <c r="A897" i="93"/>
  <c r="A898" i="93"/>
  <c r="A899" i="93"/>
  <c r="A900" i="93"/>
  <c r="A901" i="93"/>
  <c r="A902" i="93"/>
  <c r="A903" i="93"/>
  <c r="A904" i="93"/>
  <c r="A905" i="93"/>
  <c r="A906" i="93"/>
  <c r="A907" i="93"/>
  <c r="A908" i="93"/>
  <c r="A909" i="93"/>
  <c r="A910" i="93"/>
  <c r="A911" i="93"/>
  <c r="A912" i="93"/>
  <c r="A913" i="93"/>
  <c r="A914" i="93"/>
  <c r="A915" i="93"/>
  <c r="A916" i="93"/>
  <c r="A917" i="93"/>
  <c r="A918" i="93"/>
  <c r="A919" i="93"/>
  <c r="A920" i="93"/>
  <c r="A921" i="93"/>
  <c r="A922" i="93"/>
  <c r="A923" i="93"/>
  <c r="A924" i="93"/>
  <c r="A925" i="93"/>
  <c r="A926" i="93"/>
  <c r="A927" i="93"/>
  <c r="A928" i="93"/>
  <c r="A929" i="93"/>
  <c r="A930" i="93"/>
  <c r="A931" i="93"/>
  <c r="A932" i="93"/>
  <c r="A933" i="93"/>
  <c r="A934" i="93"/>
  <c r="A935" i="93"/>
  <c r="A936" i="93"/>
  <c r="A937" i="93"/>
  <c r="A938" i="93"/>
  <c r="A939" i="93"/>
  <c r="A940" i="93"/>
  <c r="A941" i="93"/>
  <c r="A942" i="93"/>
  <c r="A943" i="93"/>
  <c r="A944" i="93"/>
  <c r="A945" i="93"/>
  <c r="A946" i="93"/>
  <c r="A947" i="93"/>
  <c r="A948" i="93"/>
  <c r="A949" i="93"/>
  <c r="A950" i="93"/>
  <c r="A951" i="93"/>
  <c r="A952" i="93"/>
  <c r="A953" i="93"/>
  <c r="A954" i="93"/>
  <c r="A955" i="93"/>
  <c r="A956" i="93"/>
  <c r="A957" i="93"/>
  <c r="A958" i="93"/>
  <c r="A959" i="93"/>
  <c r="A960" i="93"/>
  <c r="A961" i="93"/>
  <c r="A962" i="93"/>
  <c r="A963" i="93"/>
  <c r="A964" i="93"/>
  <c r="A965" i="93"/>
  <c r="A966" i="93"/>
  <c r="A967" i="93"/>
  <c r="A968" i="93"/>
  <c r="A969" i="93"/>
  <c r="A970" i="93"/>
  <c r="A971" i="93"/>
  <c r="A972" i="93"/>
  <c r="A973" i="93"/>
  <c r="A974" i="93"/>
  <c r="A975" i="93"/>
  <c r="A976" i="93"/>
  <c r="A977" i="93"/>
  <c r="A978" i="93"/>
  <c r="A979" i="93"/>
  <c r="A980" i="93"/>
  <c r="A981" i="93"/>
  <c r="A982" i="93"/>
  <c r="A983" i="93"/>
  <c r="A984" i="93"/>
  <c r="A985" i="93"/>
  <c r="A986" i="93"/>
  <c r="A987" i="93"/>
  <c r="A988" i="93"/>
  <c r="A989" i="93"/>
  <c r="A990" i="93"/>
  <c r="A991" i="93"/>
  <c r="A992" i="93"/>
  <c r="A993" i="93"/>
  <c r="A994" i="93"/>
  <c r="A995" i="93"/>
  <c r="A996" i="93"/>
  <c r="A997" i="93"/>
  <c r="A998" i="93"/>
  <c r="A999" i="93"/>
  <c r="A1000" i="93"/>
  <c r="A1001" i="93"/>
  <c r="A4" i="85" s="1"/>
  <c r="A1002" i="93"/>
  <c r="A1003" i="93"/>
  <c r="A1004" i="93"/>
  <c r="A1005" i="93"/>
  <c r="A1006" i="93"/>
  <c r="A1007" i="93"/>
  <c r="A1008" i="93"/>
  <c r="A1009" i="93"/>
  <c r="B8" i="55" s="1"/>
  <c r="A1010" i="93"/>
  <c r="B9" i="55" s="1"/>
  <c r="A1011" i="93"/>
  <c r="B10" i="55" s="1"/>
  <c r="A1012" i="93"/>
  <c r="B11" i="55" s="1"/>
  <c r="A1013" i="93"/>
  <c r="A1014" i="93"/>
  <c r="B13" i="55" s="1"/>
  <c r="A1015" i="93"/>
  <c r="B14" i="55" s="1"/>
  <c r="A1016" i="93"/>
  <c r="B15" i="55" s="1"/>
  <c r="A1017" i="93"/>
  <c r="B16" i="55" s="1"/>
  <c r="A1018" i="93"/>
  <c r="A1019" i="93"/>
  <c r="A1020" i="93"/>
  <c r="A1021" i="93"/>
  <c r="A1024" i="93"/>
  <c r="A1025" i="93"/>
  <c r="A1026" i="93"/>
  <c r="A1027" i="93"/>
  <c r="B24" i="55" s="1"/>
  <c r="A1028" i="93"/>
  <c r="B25" i="55" s="1"/>
  <c r="A1029" i="93"/>
  <c r="B26" i="55" s="1"/>
  <c r="A1030" i="93"/>
  <c r="B27" i="55" s="1"/>
  <c r="A1031" i="93"/>
  <c r="A1032" i="93"/>
  <c r="B29" i="55" s="1"/>
  <c r="A1033" i="93"/>
  <c r="B30" i="55" s="1"/>
  <c r="A1034" i="93"/>
  <c r="B31" i="55" s="1"/>
  <c r="A1035" i="93"/>
  <c r="B32" i="55" s="1"/>
  <c r="A1036" i="93"/>
  <c r="A1037" i="93"/>
  <c r="A1038" i="93"/>
  <c r="A1039" i="93"/>
  <c r="A1040" i="93"/>
  <c r="A1041" i="93"/>
  <c r="A1042" i="93"/>
  <c r="A1043" i="93"/>
  <c r="A1044" i="93"/>
  <c r="A1045" i="93"/>
  <c r="A1046" i="93"/>
  <c r="B44" i="55"/>
  <c r="A1048" i="93"/>
  <c r="A1049" i="93"/>
  <c r="A1050" i="93"/>
  <c r="A1051" i="93"/>
  <c r="A1052" i="93"/>
  <c r="A1053" i="93"/>
  <c r="A1054" i="93"/>
  <c r="A1055" i="93"/>
  <c r="A1056" i="93"/>
  <c r="B54" i="55"/>
  <c r="A1060" i="93"/>
  <c r="B57" i="55" s="1"/>
  <c r="B58" i="55"/>
  <c r="B59" i="55"/>
  <c r="B60" i="55"/>
  <c r="B61" i="55"/>
  <c r="B62" i="55"/>
  <c r="B63" i="55"/>
  <c r="B64" i="55"/>
  <c r="B65" i="55"/>
  <c r="B66" i="55"/>
  <c r="A324" i="93"/>
  <c r="B77" i="94" s="1"/>
  <c r="B46" i="113" l="1"/>
  <c r="B39" i="83"/>
  <c r="B45" i="102"/>
  <c r="B62" i="73"/>
  <c r="B29" i="102"/>
  <c r="B42" i="73"/>
  <c r="B7" i="108"/>
  <c r="B4" i="117"/>
  <c r="B4" i="116"/>
  <c r="B6" i="108"/>
  <c r="B3" i="116"/>
  <c r="B3" i="117"/>
  <c r="B9" i="116"/>
  <c r="B9" i="117"/>
  <c r="B8" i="108"/>
  <c r="B5" i="117"/>
  <c r="B5" i="116"/>
  <c r="B12" i="108"/>
  <c r="B8" i="116"/>
  <c r="B8" i="117"/>
  <c r="B9" i="108"/>
  <c r="B6" i="116"/>
  <c r="B6" i="117"/>
  <c r="B7" i="116"/>
  <c r="B7" i="117"/>
  <c r="B15" i="108"/>
  <c r="B12" i="65"/>
  <c r="B10" i="65"/>
  <c r="B14" i="108"/>
  <c r="B7" i="71"/>
  <c r="B10" i="108"/>
  <c r="AU21" i="102"/>
  <c r="AU34" i="102"/>
  <c r="AM34" i="102"/>
  <c r="AM21" i="102"/>
  <c r="AE21" i="102"/>
  <c r="AE34" i="102"/>
  <c r="W34" i="102"/>
  <c r="W21" i="102"/>
  <c r="O21" i="102"/>
  <c r="O34" i="102"/>
  <c r="BJ21" i="102"/>
  <c r="BJ34" i="102"/>
  <c r="BB21" i="102"/>
  <c r="BB34" i="102"/>
  <c r="AT21" i="102"/>
  <c r="AT34" i="102"/>
  <c r="AL34" i="102"/>
  <c r="AL21" i="102"/>
  <c r="AD34" i="102"/>
  <c r="AD21" i="102"/>
  <c r="V34" i="102"/>
  <c r="V21" i="102"/>
  <c r="N34" i="102"/>
  <c r="N21" i="102"/>
  <c r="U34" i="102"/>
  <c r="U21" i="102"/>
  <c r="BH34" i="102"/>
  <c r="BH21" i="102"/>
  <c r="AZ21" i="102"/>
  <c r="AZ34" i="102"/>
  <c r="AR21" i="102"/>
  <c r="AR34" i="102"/>
  <c r="AJ21" i="102"/>
  <c r="AJ34" i="102"/>
  <c r="AB34" i="102"/>
  <c r="AB21" i="102"/>
  <c r="T21" i="102"/>
  <c r="T34" i="102"/>
  <c r="L34" i="102"/>
  <c r="L21" i="102"/>
  <c r="AS21" i="102"/>
  <c r="AS34" i="102"/>
  <c r="BG34" i="102"/>
  <c r="BG21" i="102"/>
  <c r="AY34" i="102"/>
  <c r="AY21" i="102"/>
  <c r="AQ34" i="102"/>
  <c r="AQ21" i="102"/>
  <c r="AI21" i="102"/>
  <c r="AI34" i="102"/>
  <c r="AA34" i="102"/>
  <c r="AA21" i="102"/>
  <c r="S34" i="102"/>
  <c r="S21" i="102"/>
  <c r="G4" i="103"/>
  <c r="K4" i="102"/>
  <c r="BC21" i="102"/>
  <c r="BC34" i="102"/>
  <c r="AK34" i="102"/>
  <c r="AK21" i="102"/>
  <c r="H4" i="103"/>
  <c r="M4" i="102"/>
  <c r="BF34" i="102"/>
  <c r="BF21" i="102"/>
  <c r="AX21" i="102"/>
  <c r="AX34" i="102"/>
  <c r="AP21" i="102"/>
  <c r="AP34" i="102"/>
  <c r="AH34" i="102"/>
  <c r="AH21" i="102"/>
  <c r="Z34" i="102"/>
  <c r="Z21" i="102"/>
  <c r="R34" i="102"/>
  <c r="R21" i="102"/>
  <c r="BI34" i="102"/>
  <c r="BI21" i="102"/>
  <c r="AC21" i="102"/>
  <c r="AC34" i="102"/>
  <c r="BE21" i="102"/>
  <c r="BE34" i="102"/>
  <c r="AW21" i="102"/>
  <c r="AW34" i="102"/>
  <c r="AO34" i="102"/>
  <c r="AO21" i="102"/>
  <c r="AG21" i="102"/>
  <c r="AG34" i="102"/>
  <c r="Y34" i="102"/>
  <c r="Y21" i="102"/>
  <c r="Q34" i="102"/>
  <c r="Q21" i="102"/>
  <c r="BA21" i="102"/>
  <c r="BA34" i="102"/>
  <c r="BD21" i="102"/>
  <c r="BD34" i="102"/>
  <c r="AV21" i="102"/>
  <c r="AV34" i="102"/>
  <c r="AN21" i="102"/>
  <c r="AN34" i="102"/>
  <c r="AF21" i="102"/>
  <c r="AF34" i="102"/>
  <c r="X34" i="102"/>
  <c r="X21" i="102"/>
  <c r="P34" i="102"/>
  <c r="P21" i="102"/>
  <c r="B38" i="83"/>
  <c r="B45" i="113"/>
  <c r="B48" i="66"/>
  <c r="B57" i="112"/>
  <c r="B45" i="83"/>
  <c r="B52" i="113"/>
  <c r="B43" i="113"/>
  <c r="B28" i="83"/>
  <c r="B36" i="113"/>
  <c r="B26" i="83"/>
  <c r="B28" i="113"/>
  <c r="B16" i="83"/>
  <c r="B19" i="113"/>
  <c r="B12" i="113"/>
  <c r="B4" i="113"/>
  <c r="B47" i="66"/>
  <c r="B56" i="112"/>
  <c r="B39" i="66"/>
  <c r="B48" i="112"/>
  <c r="B32" i="66"/>
  <c r="B40" i="112"/>
  <c r="B12" i="66"/>
  <c r="B16" i="112"/>
  <c r="B4" i="66"/>
  <c r="B7" i="112"/>
  <c r="B44" i="83"/>
  <c r="B51" i="113"/>
  <c r="B25" i="83"/>
  <c r="B27" i="113"/>
  <c r="B15" i="83"/>
  <c r="B18" i="113"/>
  <c r="B8" i="83"/>
  <c r="B11" i="113"/>
  <c r="B46" i="66"/>
  <c r="B55" i="112"/>
  <c r="B38" i="66"/>
  <c r="B47" i="112"/>
  <c r="B31" i="66"/>
  <c r="B39" i="112"/>
  <c r="B19" i="66"/>
  <c r="B23" i="112"/>
  <c r="B11" i="66"/>
  <c r="B15" i="112"/>
  <c r="B3" i="66"/>
  <c r="B6" i="112"/>
  <c r="B17" i="83"/>
  <c r="B20" i="113"/>
  <c r="B40" i="66"/>
  <c r="B49" i="112"/>
  <c r="B13" i="66"/>
  <c r="B17" i="112"/>
  <c r="B43" i="83"/>
  <c r="B50" i="113"/>
  <c r="B35" i="83"/>
  <c r="B42" i="113"/>
  <c r="B24" i="83"/>
  <c r="B26" i="113"/>
  <c r="B14" i="83"/>
  <c r="B17" i="113"/>
  <c r="B7" i="83"/>
  <c r="B10" i="113"/>
  <c r="B2" i="113"/>
  <c r="B45" i="66"/>
  <c r="B54" i="112"/>
  <c r="B30" i="66"/>
  <c r="B38" i="112"/>
  <c r="B25" i="66"/>
  <c r="B30" i="112"/>
  <c r="B20" i="101"/>
  <c r="B22" i="97"/>
  <c r="B22" i="96"/>
  <c r="B29" i="83"/>
  <c r="B37" i="113"/>
  <c r="B5" i="66"/>
  <c r="B8" i="112"/>
  <c r="B34" i="83"/>
  <c r="B41" i="113"/>
  <c r="B23" i="83"/>
  <c r="B25" i="113"/>
  <c r="B13" i="83"/>
  <c r="B16" i="113"/>
  <c r="B6" i="83"/>
  <c r="B9" i="113"/>
  <c r="B44" i="66"/>
  <c r="B53" i="112"/>
  <c r="B37" i="66"/>
  <c r="B45" i="112"/>
  <c r="B29" i="66"/>
  <c r="B37" i="112"/>
  <c r="B24" i="66"/>
  <c r="B29" i="112"/>
  <c r="B17" i="66"/>
  <c r="B21" i="112"/>
  <c r="B10" i="66"/>
  <c r="B13" i="112"/>
  <c r="B4" i="112"/>
  <c r="K4" i="103"/>
  <c r="AO4" i="108"/>
  <c r="B33" i="66"/>
  <c r="B41" i="112"/>
  <c r="B41" i="83"/>
  <c r="B48" i="113"/>
  <c r="B32" i="83"/>
  <c r="B40" i="113"/>
  <c r="B22" i="83"/>
  <c r="B24" i="113"/>
  <c r="B12" i="83"/>
  <c r="B15" i="113"/>
  <c r="B5" i="83"/>
  <c r="B8" i="113"/>
  <c r="B51" i="66"/>
  <c r="B60" i="112"/>
  <c r="B43" i="66"/>
  <c r="B52" i="112"/>
  <c r="B36" i="66"/>
  <c r="B44" i="112"/>
  <c r="B28" i="66"/>
  <c r="B36" i="112"/>
  <c r="B23" i="66"/>
  <c r="B28" i="112"/>
  <c r="B8" i="66"/>
  <c r="B11" i="112"/>
  <c r="B20" i="66"/>
  <c r="B25" i="112"/>
  <c r="I4" i="103"/>
  <c r="AM4" i="108"/>
  <c r="B48" i="83"/>
  <c r="B55" i="113"/>
  <c r="B40" i="83"/>
  <c r="B47" i="113"/>
  <c r="B31" i="83"/>
  <c r="B39" i="113"/>
  <c r="B19" i="83"/>
  <c r="B22" i="113"/>
  <c r="B11" i="83"/>
  <c r="B14" i="113"/>
  <c r="B4" i="83"/>
  <c r="B7" i="113"/>
  <c r="B42" i="66"/>
  <c r="B51" i="112"/>
  <c r="B35" i="66"/>
  <c r="B43" i="112"/>
  <c r="B27" i="66"/>
  <c r="B35" i="112"/>
  <c r="B22" i="66"/>
  <c r="B27" i="112"/>
  <c r="B15" i="66"/>
  <c r="B19" i="112"/>
  <c r="B7" i="66"/>
  <c r="B10" i="112"/>
  <c r="B2" i="112"/>
  <c r="J4" i="103"/>
  <c r="AN4" i="108"/>
  <c r="B47" i="83"/>
  <c r="B54" i="113"/>
  <c r="B30" i="83"/>
  <c r="B38" i="113"/>
  <c r="B18" i="83"/>
  <c r="B21" i="113"/>
  <c r="B13" i="113"/>
  <c r="B3" i="83"/>
  <c r="B6" i="113"/>
  <c r="B49" i="66"/>
  <c r="B58" i="112"/>
  <c r="B41" i="66"/>
  <c r="B50" i="112"/>
  <c r="B34" i="66"/>
  <c r="B42" i="112"/>
  <c r="B21" i="66"/>
  <c r="B26" i="112"/>
  <c r="B14" i="66"/>
  <c r="B18" i="112"/>
  <c r="B6" i="66"/>
  <c r="B9" i="112"/>
  <c r="B26" i="66"/>
  <c r="B31" i="112"/>
  <c r="B18" i="66"/>
  <c r="B24" i="112"/>
  <c r="B16" i="66"/>
  <c r="B20" i="112"/>
  <c r="B65" i="103"/>
  <c r="B33" i="103"/>
  <c r="B9" i="103"/>
  <c r="B64" i="103"/>
  <c r="B56" i="103"/>
  <c r="B48" i="103"/>
  <c r="B40" i="103"/>
  <c r="B32" i="103"/>
  <c r="B24" i="103"/>
  <c r="B16" i="103"/>
  <c r="B8" i="103"/>
  <c r="B39" i="103"/>
  <c r="B15" i="103"/>
  <c r="B62" i="103"/>
  <c r="B54" i="103"/>
  <c r="B46" i="103"/>
  <c r="B38" i="103"/>
  <c r="B30" i="103"/>
  <c r="B22" i="103"/>
  <c r="B14" i="103"/>
  <c r="B31" i="103"/>
  <c r="B61" i="103"/>
  <c r="B53" i="103"/>
  <c r="B45" i="103"/>
  <c r="B37" i="103"/>
  <c r="B29" i="103"/>
  <c r="B21" i="103"/>
  <c r="B13" i="103"/>
  <c r="B57" i="103"/>
  <c r="B55" i="103"/>
  <c r="B23" i="103"/>
  <c r="B44" i="103"/>
  <c r="B41" i="103"/>
  <c r="B17" i="103"/>
  <c r="B47" i="103"/>
  <c r="B7" i="103"/>
  <c r="B60" i="103"/>
  <c r="B36" i="103"/>
  <c r="B12" i="103"/>
  <c r="B4" i="103"/>
  <c r="B51" i="103"/>
  <c r="B35" i="103"/>
  <c r="B27" i="103"/>
  <c r="B19" i="103"/>
  <c r="B11" i="103"/>
  <c r="B49" i="103"/>
  <c r="B25" i="103"/>
  <c r="B28" i="103"/>
  <c r="B58" i="103"/>
  <c r="B50" i="103"/>
  <c r="B42" i="103"/>
  <c r="B34" i="103"/>
  <c r="B26" i="103"/>
  <c r="B18" i="103"/>
  <c r="B10" i="103"/>
  <c r="B2" i="103"/>
  <c r="V27" i="73"/>
  <c r="V47" i="73"/>
  <c r="N27" i="73"/>
  <c r="N47" i="73"/>
  <c r="T27" i="73"/>
  <c r="T47" i="73"/>
  <c r="R27" i="73"/>
  <c r="R47" i="73"/>
  <c r="P47" i="73"/>
  <c r="P27" i="73"/>
  <c r="B49" i="55"/>
  <c r="B41" i="55"/>
  <c r="B33" i="55"/>
  <c r="B17" i="55"/>
  <c r="B17" i="96"/>
  <c r="B17" i="97"/>
  <c r="B9" i="101"/>
  <c r="B9" i="99"/>
  <c r="B9" i="100"/>
  <c r="B9" i="98"/>
  <c r="B9" i="97"/>
  <c r="B9" i="96"/>
  <c r="AM4" i="100"/>
  <c r="I4" i="97"/>
  <c r="AM4" i="99"/>
  <c r="I4" i="96"/>
  <c r="I4" i="94"/>
  <c r="I65" i="94" s="1"/>
  <c r="B40" i="55"/>
  <c r="B24" i="96"/>
  <c r="B21" i="98"/>
  <c r="B24" i="97"/>
  <c r="B16" i="96"/>
  <c r="B16" i="97"/>
  <c r="B8" i="101"/>
  <c r="B8" i="96"/>
  <c r="B8" i="99"/>
  <c r="B8" i="100"/>
  <c r="B8" i="98"/>
  <c r="B8" i="97"/>
  <c r="L4" i="73"/>
  <c r="D4" i="73"/>
  <c r="B45" i="73"/>
  <c r="B47" i="55"/>
  <c r="B39" i="55"/>
  <c r="B23" i="55"/>
  <c r="B7" i="55"/>
  <c r="B15" i="97"/>
  <c r="B15" i="96"/>
  <c r="B7" i="101"/>
  <c r="B7" i="96"/>
  <c r="B7" i="99"/>
  <c r="B7" i="100"/>
  <c r="B7" i="98"/>
  <c r="B7" i="97"/>
  <c r="H4" i="96"/>
  <c r="H4" i="98"/>
  <c r="H4" i="97"/>
  <c r="H4" i="94"/>
  <c r="H65" i="94" s="1"/>
  <c r="B38" i="55"/>
  <c r="B22" i="55"/>
  <c r="B6" i="55"/>
  <c r="B14" i="100"/>
  <c r="B14" i="98"/>
  <c r="B14" i="101"/>
  <c r="B14" i="97"/>
  <c r="B14" i="96"/>
  <c r="B6" i="100"/>
  <c r="B6" i="101"/>
  <c r="B6" i="98"/>
  <c r="B6" i="97"/>
  <c r="B6" i="99"/>
  <c r="B6" i="96"/>
  <c r="J4" i="73"/>
  <c r="B53" i="55"/>
  <c r="B45" i="55"/>
  <c r="B37" i="55"/>
  <c r="B21" i="55"/>
  <c r="B21" i="96"/>
  <c r="B19" i="101"/>
  <c r="B21" i="97"/>
  <c r="B13" i="96"/>
  <c r="B13" i="100"/>
  <c r="B13" i="98"/>
  <c r="B13" i="101"/>
  <c r="B13" i="99"/>
  <c r="B13" i="97"/>
  <c r="K4" i="98"/>
  <c r="K4" i="97"/>
  <c r="AO4" i="99"/>
  <c r="AO4" i="100"/>
  <c r="K4" i="96"/>
  <c r="K4" i="94"/>
  <c r="K65" i="94" s="1"/>
  <c r="G4" i="96"/>
  <c r="G4" i="98"/>
  <c r="G4" i="97"/>
  <c r="G4" i="94"/>
  <c r="G65" i="94" s="1"/>
  <c r="B27" i="73"/>
  <c r="B52" i="55"/>
  <c r="B36" i="55"/>
  <c r="B28" i="55"/>
  <c r="B20" i="55"/>
  <c r="B12" i="55"/>
  <c r="B4" i="55"/>
  <c r="B20" i="96"/>
  <c r="B20" i="97"/>
  <c r="B12" i="98"/>
  <c r="B12" i="100"/>
  <c r="B12" i="97"/>
  <c r="B12" i="101"/>
  <c r="B12" i="99"/>
  <c r="B12" i="96"/>
  <c r="B4" i="96"/>
  <c r="B4" i="101"/>
  <c r="B4" i="99"/>
  <c r="B4" i="98"/>
  <c r="B4" i="97"/>
  <c r="B4" i="100"/>
  <c r="H4" i="73"/>
  <c r="B4" i="73"/>
  <c r="B51" i="55"/>
  <c r="B43" i="55"/>
  <c r="B35" i="55"/>
  <c r="B19" i="55"/>
  <c r="B19" i="97"/>
  <c r="B19" i="96"/>
  <c r="B11" i="98"/>
  <c r="B11" i="100"/>
  <c r="B11" i="97"/>
  <c r="B11" i="101"/>
  <c r="B11" i="99"/>
  <c r="B11" i="96"/>
  <c r="J4" i="96"/>
  <c r="J4" i="98"/>
  <c r="J4" i="97"/>
  <c r="AN4" i="99"/>
  <c r="AN4" i="100"/>
  <c r="J4" i="94"/>
  <c r="J65" i="94" s="1"/>
  <c r="B25" i="73"/>
  <c r="B46" i="55"/>
  <c r="B50" i="55"/>
  <c r="B42" i="55"/>
  <c r="B34" i="55"/>
  <c r="B18" i="55"/>
  <c r="B2" i="55"/>
  <c r="B18" i="97"/>
  <c r="B18" i="96"/>
  <c r="B10" i="96"/>
  <c r="B10" i="99"/>
  <c r="B10" i="100"/>
  <c r="B10" i="97"/>
  <c r="B10" i="101"/>
  <c r="F4" i="73"/>
  <c r="B47" i="73"/>
  <c r="B2" i="73"/>
  <c r="ER4" i="81"/>
  <c r="FM6" i="81"/>
  <c r="FC6" i="81"/>
  <c r="FR6" i="81"/>
  <c r="FH6" i="81"/>
  <c r="EX6" i="81"/>
  <c r="B4" i="71"/>
  <c r="B4" i="20"/>
  <c r="B4" i="52"/>
  <c r="EN6" i="81"/>
  <c r="ES6" i="81"/>
  <c r="EI6" i="81"/>
  <c r="ED6" i="81"/>
  <c r="DY6" i="81"/>
  <c r="D6" i="81"/>
  <c r="X6" i="81" s="1"/>
  <c r="D6" i="56"/>
  <c r="G6" i="81"/>
  <c r="G6" i="56"/>
  <c r="F6" i="81"/>
  <c r="F6" i="56"/>
  <c r="C6" i="81"/>
  <c r="H6" i="81" s="1"/>
  <c r="M6" i="81" s="1"/>
  <c r="R6" i="81" s="1"/>
  <c r="W6" i="81" s="1"/>
  <c r="AB6" i="81" s="1"/>
  <c r="AG6" i="81" s="1"/>
  <c r="AL6" i="81" s="1"/>
  <c r="AQ6" i="81" s="1"/>
  <c r="AV6" i="81" s="1"/>
  <c r="BA6" i="81" s="1"/>
  <c r="BF6" i="81" s="1"/>
  <c r="BK6" i="81" s="1"/>
  <c r="BP6" i="81" s="1"/>
  <c r="BU6" i="81" s="1"/>
  <c r="BZ6" i="81" s="1"/>
  <c r="CE6" i="81" s="1"/>
  <c r="C6" i="56"/>
  <c r="H6" i="56" s="1"/>
  <c r="M6" i="56" s="1"/>
  <c r="R6" i="56" s="1"/>
  <c r="W6" i="56" s="1"/>
  <c r="AB6" i="56" s="1"/>
  <c r="AG6" i="56" s="1"/>
  <c r="AL6" i="56" s="1"/>
  <c r="AQ6" i="56" s="1"/>
  <c r="AV6" i="56" s="1"/>
  <c r="BA6" i="56" s="1"/>
  <c r="BF6" i="56" s="1"/>
  <c r="BK6" i="56" s="1"/>
  <c r="BP6" i="56" s="1"/>
  <c r="BU6" i="56" s="1"/>
  <c r="BZ6" i="56" s="1"/>
  <c r="CE6" i="56" s="1"/>
  <c r="CJ6" i="56" s="1"/>
  <c r="CO6" i="56" s="1"/>
  <c r="CT6" i="56" s="1"/>
  <c r="CY6" i="56" s="1"/>
  <c r="DD6" i="56" s="1"/>
  <c r="DI6" i="56" s="1"/>
  <c r="DN6" i="56" s="1"/>
  <c r="DS6" i="56" s="1"/>
  <c r="DX6" i="56" s="1"/>
  <c r="EC6" i="56" s="1"/>
  <c r="EH6" i="56" s="1"/>
  <c r="EM6" i="56" s="1"/>
  <c r="ER6" i="56" s="1"/>
  <c r="EW6" i="56" s="1"/>
  <c r="FB6" i="56" s="1"/>
  <c r="FG6" i="56" s="1"/>
  <c r="FL6" i="56" s="1"/>
  <c r="FQ6" i="56" s="1"/>
  <c r="FV6" i="56" s="1"/>
  <c r="E6" i="81"/>
  <c r="E6" i="56"/>
  <c r="B9" i="20"/>
  <c r="AQ4" i="81"/>
  <c r="W4" i="81"/>
  <c r="V4" i="81"/>
  <c r="AA4" i="81"/>
  <c r="AF4" i="81"/>
  <c r="L4" i="81"/>
  <c r="G4" i="81"/>
  <c r="Q4" i="81"/>
  <c r="B3" i="20"/>
  <c r="DT6" i="81"/>
  <c r="DO6" i="81"/>
  <c r="DJ6" i="81"/>
  <c r="B8" i="20"/>
  <c r="AL4" i="81"/>
  <c r="B7" i="20"/>
  <c r="B6" i="20"/>
  <c r="AP4" i="81"/>
  <c r="AU4" i="81"/>
  <c r="AH4" i="81"/>
  <c r="AR4" i="81"/>
  <c r="AK4" i="81"/>
  <c r="AS4" i="81"/>
  <c r="AJ4" i="81"/>
  <c r="AO4" i="81"/>
  <c r="AT4" i="81"/>
  <c r="AI4" i="81"/>
  <c r="AM4" i="81"/>
  <c r="AG4" i="81"/>
  <c r="AN4" i="81"/>
  <c r="B5" i="20"/>
  <c r="AB4" i="81"/>
  <c r="B9" i="52"/>
  <c r="B9" i="71"/>
  <c r="B8" i="71"/>
  <c r="B8" i="52"/>
  <c r="B7" i="52"/>
  <c r="B6" i="71"/>
  <c r="B6" i="52"/>
  <c r="B5" i="71"/>
  <c r="B5" i="52"/>
  <c r="B3" i="52"/>
  <c r="B3" i="71"/>
  <c r="K34" i="102" l="1"/>
  <c r="K21" i="102"/>
  <c r="M34" i="102"/>
  <c r="M21" i="102"/>
  <c r="EA6" i="81"/>
  <c r="FJ6" i="81"/>
  <c r="EZ6" i="81"/>
  <c r="FE6" i="81"/>
  <c r="DC6" i="81"/>
  <c r="FK6" i="81"/>
  <c r="FA6" i="81"/>
  <c r="FF6" i="81"/>
  <c r="CV6" i="81"/>
  <c r="FD6" i="81"/>
  <c r="FI6" i="81"/>
  <c r="EY6" i="81"/>
  <c r="Q6" i="81"/>
  <c r="EE6" i="81"/>
  <c r="AP6" i="81"/>
  <c r="CA6" i="81"/>
  <c r="V6" i="81"/>
  <c r="AA6" i="81"/>
  <c r="DB6" i="81"/>
  <c r="BI6" i="81"/>
  <c r="CH6" i="81"/>
  <c r="AY6" i="81"/>
  <c r="EK6" i="81"/>
  <c r="AO6" i="81"/>
  <c r="BS6" i="81"/>
  <c r="K6" i="81"/>
  <c r="CW6" i="81"/>
  <c r="Z6" i="81"/>
  <c r="AT6" i="81"/>
  <c r="DH6" i="81"/>
  <c r="CR6" i="81"/>
  <c r="AE6" i="81"/>
  <c r="U6" i="81"/>
  <c r="P6" i="81"/>
  <c r="BX6" i="81"/>
  <c r="EL6" i="81"/>
  <c r="CQ6" i="81"/>
  <c r="BN6" i="81"/>
  <c r="AJ6" i="81"/>
  <c r="DG6" i="81"/>
  <c r="AR6" i="81"/>
  <c r="Y6" i="81"/>
  <c r="EF6" i="81"/>
  <c r="BD6" i="81"/>
  <c r="CC6" i="81"/>
  <c r="N6" i="81"/>
  <c r="BY6" i="81"/>
  <c r="EB6" i="81"/>
  <c r="BJ6" i="81"/>
  <c r="CX6" i="81"/>
  <c r="BO6" i="81"/>
  <c r="EG6" i="81"/>
  <c r="AU6" i="81"/>
  <c r="CS6" i="81"/>
  <c r="AZ6" i="81"/>
  <c r="BT6" i="81"/>
  <c r="L6" i="81"/>
  <c r="BE6" i="81"/>
  <c r="AF6" i="81"/>
  <c r="CI6" i="81"/>
  <c r="AK6" i="81"/>
  <c r="CD6" i="81"/>
  <c r="CZ6" i="81"/>
  <c r="T6" i="81"/>
  <c r="S6" i="81"/>
  <c r="AC6" i="81"/>
  <c r="BL6" i="81"/>
  <c r="EJ6" i="81"/>
  <c r="J6" i="81"/>
  <c r="BM6" i="81"/>
  <c r="BQ6" i="81"/>
  <c r="BG6" i="81"/>
  <c r="CP6" i="81"/>
  <c r="AS6" i="81"/>
  <c r="CG6" i="81"/>
  <c r="CB6" i="81"/>
  <c r="AH6" i="81"/>
  <c r="BH6" i="81"/>
  <c r="BC6" i="81"/>
  <c r="CU6" i="81"/>
  <c r="AM6" i="81"/>
  <c r="AX6" i="81"/>
  <c r="O6" i="81"/>
  <c r="AD6" i="81"/>
  <c r="BW6" i="81"/>
  <c r="AN6" i="81"/>
  <c r="DF6" i="81"/>
  <c r="BB6" i="81"/>
  <c r="I6" i="81"/>
  <c r="DZ6" i="81"/>
  <c r="BR6" i="81"/>
  <c r="DA6" i="81"/>
  <c r="AW6" i="81"/>
  <c r="BV6" i="81"/>
  <c r="CF6" i="81"/>
  <c r="AI6" i="81"/>
  <c r="DR6" i="56"/>
  <c r="DH6" i="56"/>
  <c r="CI6" i="56"/>
  <c r="BY6" i="56"/>
  <c r="V6" i="56"/>
  <c r="FK6" i="56"/>
  <c r="FA6" i="56"/>
  <c r="CX6" i="56"/>
  <c r="BO6" i="56"/>
  <c r="BE6" i="56"/>
  <c r="EQ6" i="56"/>
  <c r="EG6" i="56"/>
  <c r="L6" i="56"/>
  <c r="FZ6" i="56"/>
  <c r="CN6" i="56"/>
  <c r="AU6" i="56"/>
  <c r="AK6" i="56"/>
  <c r="AZ6" i="56"/>
  <c r="FP6" i="56"/>
  <c r="DW6" i="56"/>
  <c r="DM6" i="56"/>
  <c r="CD6" i="56"/>
  <c r="BT6" i="56"/>
  <c r="AA6" i="56"/>
  <c r="CS6" i="56"/>
  <c r="FF6" i="56"/>
  <c r="EV6" i="56"/>
  <c r="DC6" i="56"/>
  <c r="BJ6" i="56"/>
  <c r="Q6" i="56"/>
  <c r="EL6" i="56"/>
  <c r="AP6" i="56"/>
  <c r="FU6" i="56"/>
  <c r="AF6" i="56"/>
  <c r="EB6" i="56"/>
  <c r="FT6" i="56"/>
  <c r="EA6" i="56"/>
  <c r="AO6" i="56"/>
  <c r="AE6" i="56"/>
  <c r="DQ6" i="56"/>
  <c r="DG6" i="56"/>
  <c r="CH6" i="56"/>
  <c r="BX6" i="56"/>
  <c r="U6" i="56"/>
  <c r="FJ6" i="56"/>
  <c r="EZ6" i="56"/>
  <c r="CW6" i="56"/>
  <c r="BN6" i="56"/>
  <c r="BD6" i="56"/>
  <c r="EU6" i="56"/>
  <c r="DB6" i="56"/>
  <c r="BI6" i="56"/>
  <c r="P6" i="56"/>
  <c r="EP6" i="56"/>
  <c r="EF6" i="56"/>
  <c r="K6" i="56"/>
  <c r="FE6" i="56"/>
  <c r="FY6" i="56"/>
  <c r="CM6" i="56"/>
  <c r="AT6" i="56"/>
  <c r="AJ6" i="56"/>
  <c r="FO6" i="56"/>
  <c r="DV6" i="56"/>
  <c r="DL6" i="56"/>
  <c r="CC6" i="56"/>
  <c r="BS6" i="56"/>
  <c r="Z6" i="56"/>
  <c r="CR6" i="56"/>
  <c r="EK6" i="56"/>
  <c r="AY6" i="56"/>
  <c r="EJ6" i="56"/>
  <c r="CQ6" i="56"/>
  <c r="AX6" i="56"/>
  <c r="FS6" i="56"/>
  <c r="DZ6" i="56"/>
  <c r="AN6" i="56"/>
  <c r="AD6" i="56"/>
  <c r="DP6" i="56"/>
  <c r="DF6" i="56"/>
  <c r="CG6" i="56"/>
  <c r="BW6" i="56"/>
  <c r="T6" i="56"/>
  <c r="FI6" i="56"/>
  <c r="EY6" i="56"/>
  <c r="CV6" i="56"/>
  <c r="BM6" i="56"/>
  <c r="BC6" i="56"/>
  <c r="DU6" i="56"/>
  <c r="Y6" i="56"/>
  <c r="EO6" i="56"/>
  <c r="EE6" i="56"/>
  <c r="J6" i="56"/>
  <c r="FN6" i="56"/>
  <c r="BR6" i="56"/>
  <c r="FX6" i="56"/>
  <c r="CL6" i="56"/>
  <c r="AS6" i="56"/>
  <c r="AI6" i="56"/>
  <c r="DK6" i="56"/>
  <c r="CB6" i="56"/>
  <c r="DA6" i="56"/>
  <c r="FD6" i="56"/>
  <c r="O6" i="56"/>
  <c r="ET6" i="56"/>
  <c r="BH6" i="56"/>
  <c r="FC6" i="56"/>
  <c r="ES6" i="56"/>
  <c r="CZ6" i="56"/>
  <c r="BG6" i="56"/>
  <c r="N6" i="56"/>
  <c r="EI6" i="56"/>
  <c r="CP6" i="56"/>
  <c r="AW6" i="56"/>
  <c r="FR6" i="56"/>
  <c r="DY6" i="56"/>
  <c r="AM6" i="56"/>
  <c r="AC6" i="56"/>
  <c r="DO6" i="56"/>
  <c r="DE6" i="56"/>
  <c r="CF6" i="56"/>
  <c r="BV6" i="56"/>
  <c r="S6" i="56"/>
  <c r="CK6" i="56"/>
  <c r="FH6" i="56"/>
  <c r="EX6" i="56"/>
  <c r="CU6" i="56"/>
  <c r="BL6" i="56"/>
  <c r="BB6" i="56"/>
  <c r="AR6" i="56"/>
  <c r="EN6" i="56"/>
  <c r="ED6" i="56"/>
  <c r="I6" i="56"/>
  <c r="FW6" i="56"/>
  <c r="AH6" i="56"/>
  <c r="DJ6" i="56"/>
  <c r="FM6" i="56"/>
  <c r="X6" i="56"/>
  <c r="DT6" i="56"/>
  <c r="CA6" i="56"/>
  <c r="BQ6" i="56"/>
  <c r="A206" i="93"/>
  <c r="A205" i="93"/>
  <c r="A204" i="93"/>
  <c r="A203" i="93"/>
  <c r="A202" i="93"/>
  <c r="A201" i="93"/>
  <c r="A200" i="93"/>
  <c r="A199" i="93"/>
  <c r="A198" i="93"/>
  <c r="A323" i="93"/>
  <c r="B76" i="94" s="1"/>
  <c r="A322" i="93"/>
  <c r="B75" i="94" s="1"/>
  <c r="A321" i="93"/>
  <c r="B74" i="94" s="1"/>
  <c r="A320" i="93"/>
  <c r="B73" i="94" s="1"/>
  <c r="A319" i="93"/>
  <c r="B72" i="94" s="1"/>
  <c r="A318" i="93"/>
  <c r="B70" i="94" s="1"/>
  <c r="A317" i="93"/>
  <c r="B69" i="94" s="1"/>
  <c r="A316" i="93"/>
  <c r="B68" i="94" s="1"/>
  <c r="A315" i="93"/>
  <c r="B67" i="94" s="1"/>
  <c r="A314" i="93"/>
  <c r="B66" i="94" s="1"/>
  <c r="A313" i="93"/>
  <c r="B65" i="94" s="1"/>
  <c r="A312" i="93"/>
  <c r="A311" i="93"/>
  <c r="B63" i="94" s="1"/>
  <c r="A310" i="93"/>
  <c r="B62" i="94" s="1"/>
  <c r="A309" i="93"/>
  <c r="B61" i="94" s="1"/>
  <c r="A308" i="93"/>
  <c r="B60" i="94" s="1"/>
  <c r="A307" i="93"/>
  <c r="B59" i="94" s="1"/>
  <c r="A306" i="93"/>
  <c r="B58" i="94" s="1"/>
  <c r="A305" i="93"/>
  <c r="B57" i="94" s="1"/>
  <c r="A304" i="93"/>
  <c r="B56" i="94" s="1"/>
  <c r="A303" i="93"/>
  <c r="B55" i="94" s="1"/>
  <c r="A302" i="93"/>
  <c r="B54" i="94" s="1"/>
  <c r="A301" i="93"/>
  <c r="B53" i="94" s="1"/>
  <c r="A300" i="93"/>
  <c r="B52" i="94" s="1"/>
  <c r="A299" i="93"/>
  <c r="B51" i="94" s="1"/>
  <c r="A298" i="93"/>
  <c r="B50" i="94" s="1"/>
  <c r="A297" i="93"/>
  <c r="B49" i="94" s="1"/>
  <c r="A296" i="93"/>
  <c r="B48" i="94" s="1"/>
  <c r="A295" i="93"/>
  <c r="B47" i="94" s="1"/>
  <c r="A294" i="93"/>
  <c r="B46" i="94" s="1"/>
  <c r="A293" i="93"/>
  <c r="B45" i="94" s="1"/>
  <c r="A292" i="93"/>
  <c r="B44" i="94" s="1"/>
  <c r="A291" i="93"/>
  <c r="B43" i="94" s="1"/>
  <c r="A290" i="93"/>
  <c r="B42" i="94" s="1"/>
  <c r="A289" i="93"/>
  <c r="B41" i="94" s="1"/>
  <c r="A288" i="93"/>
  <c r="B40" i="94" s="1"/>
  <c r="A287" i="93"/>
  <c r="B39" i="94" s="1"/>
  <c r="A286" i="93"/>
  <c r="B38" i="94" s="1"/>
  <c r="A285" i="93"/>
  <c r="B37" i="94" s="1"/>
  <c r="A284" i="93"/>
  <c r="B36" i="94" s="1"/>
  <c r="A283" i="93"/>
  <c r="B35" i="94" s="1"/>
  <c r="A282" i="93"/>
  <c r="B34" i="94" s="1"/>
  <c r="A281" i="93"/>
  <c r="B33" i="94" s="1"/>
  <c r="A280" i="93"/>
  <c r="B32" i="94" s="1"/>
  <c r="A279" i="93"/>
  <c r="B31" i="94" s="1"/>
  <c r="A278" i="93"/>
  <c r="B30" i="94" s="1"/>
  <c r="A277" i="93"/>
  <c r="B29" i="94" s="1"/>
  <c r="A276" i="93"/>
  <c r="B28" i="94" s="1"/>
  <c r="A275" i="93"/>
  <c r="B27" i="94" s="1"/>
  <c r="A274" i="93"/>
  <c r="B26" i="94" s="1"/>
  <c r="A273" i="93"/>
  <c r="B25" i="94" s="1"/>
  <c r="A272" i="93"/>
  <c r="B24" i="94" s="1"/>
  <c r="A271" i="93"/>
  <c r="B23" i="94" s="1"/>
  <c r="A270" i="93"/>
  <c r="B22" i="94" s="1"/>
  <c r="A269" i="93"/>
  <c r="B21" i="94" s="1"/>
  <c r="A268" i="93"/>
  <c r="B20" i="94" s="1"/>
  <c r="A267" i="93"/>
  <c r="B19" i="94" s="1"/>
  <c r="A266" i="93"/>
  <c r="B18" i="94" s="1"/>
  <c r="A265" i="93"/>
  <c r="B17" i="94" s="1"/>
  <c r="A264" i="93"/>
  <c r="B16" i="94" s="1"/>
  <c r="A263" i="93"/>
  <c r="A262" i="93"/>
  <c r="B14" i="94" s="1"/>
  <c r="A261" i="93"/>
  <c r="B13" i="94" s="1"/>
  <c r="A260" i="93"/>
  <c r="B12" i="94" s="1"/>
  <c r="A259" i="93"/>
  <c r="B11" i="94" s="1"/>
  <c r="A258" i="93"/>
  <c r="B10" i="94" s="1"/>
  <c r="A257" i="93"/>
  <c r="B9" i="94" s="1"/>
  <c r="A256" i="93"/>
  <c r="B8" i="94" s="1"/>
  <c r="A255" i="93"/>
  <c r="B7" i="94" s="1"/>
  <c r="A254" i="93"/>
  <c r="B6" i="94" s="1"/>
  <c r="A253" i="93"/>
  <c r="A252" i="93"/>
  <c r="B4" i="94" s="1"/>
  <c r="A251" i="93"/>
  <c r="A250" i="93"/>
  <c r="B2" i="94" s="1"/>
  <c r="A249" i="93"/>
  <c r="A4" i="78" s="1"/>
  <c r="A248" i="93"/>
  <c r="A247" i="93"/>
  <c r="A246" i="93"/>
  <c r="A245" i="93"/>
  <c r="A244" i="93"/>
  <c r="A243" i="93"/>
  <c r="A242" i="93"/>
  <c r="A241" i="93"/>
  <c r="A240" i="93"/>
  <c r="A239" i="93"/>
  <c r="A238" i="93"/>
  <c r="A237" i="93"/>
  <c r="A236" i="93"/>
  <c r="A235" i="93"/>
  <c r="A234" i="93"/>
  <c r="A233" i="93"/>
  <c r="B28" i="107" s="1"/>
  <c r="A232" i="93"/>
  <c r="B26" i="107" s="1"/>
  <c r="A231" i="93"/>
  <c r="B25" i="107" s="1"/>
  <c r="A230" i="93"/>
  <c r="B24" i="107" s="1"/>
  <c r="A229" i="93"/>
  <c r="B23" i="107" s="1"/>
  <c r="A228" i="93"/>
  <c r="B22" i="107" s="1"/>
  <c r="A227" i="93"/>
  <c r="B21" i="107" s="1"/>
  <c r="A226" i="93"/>
  <c r="B20" i="107" s="1"/>
  <c r="A225" i="93"/>
  <c r="B19" i="107" s="1"/>
  <c r="A224" i="93"/>
  <c r="B18" i="107" s="1"/>
  <c r="A223" i="93"/>
  <c r="B17" i="107" s="1"/>
  <c r="A222" i="93"/>
  <c r="B16" i="107" s="1"/>
  <c r="A221" i="93"/>
  <c r="B15" i="107" s="1"/>
  <c r="A220" i="93"/>
  <c r="B14" i="107" s="1"/>
  <c r="A219" i="93"/>
  <c r="B13" i="107" s="1"/>
  <c r="A218" i="93"/>
  <c r="B12" i="107" s="1"/>
  <c r="A217" i="93"/>
  <c r="B11" i="107" s="1"/>
  <c r="A216" i="93"/>
  <c r="B10" i="107" s="1"/>
  <c r="A215" i="93"/>
  <c r="B9" i="107" s="1"/>
  <c r="A214" i="93"/>
  <c r="B8" i="107" s="1"/>
  <c r="A213" i="93"/>
  <c r="B7" i="107" s="1"/>
  <c r="A212" i="93"/>
  <c r="B6" i="107" s="1"/>
  <c r="A211" i="93"/>
  <c r="A210" i="93"/>
  <c r="B4" i="107" s="1"/>
  <c r="A209" i="93"/>
  <c r="A208" i="93"/>
  <c r="B2" i="107" s="1"/>
  <c r="A207" i="93"/>
  <c r="A197" i="93"/>
  <c r="A196" i="93"/>
  <c r="A195" i="93"/>
  <c r="A194" i="93"/>
  <c r="A193" i="93"/>
  <c r="A192" i="93"/>
  <c r="A191" i="93"/>
  <c r="A190" i="93"/>
  <c r="A189" i="93"/>
  <c r="A188" i="93"/>
  <c r="A187" i="93"/>
  <c r="A186" i="93"/>
  <c r="A185" i="93"/>
  <c r="A184" i="93"/>
  <c r="A183" i="93"/>
  <c r="A182" i="93"/>
  <c r="A181" i="93"/>
  <c r="A180" i="93"/>
  <c r="A179" i="93"/>
  <c r="A173" i="93"/>
  <c r="L2" i="90" s="1"/>
  <c r="A172" i="93"/>
  <c r="A171" i="93"/>
  <c r="A170" i="93"/>
  <c r="A169" i="93"/>
  <c r="A168" i="93"/>
  <c r="G2" i="90" s="1"/>
  <c r="A167" i="93"/>
  <c r="F2" i="90" s="1"/>
  <c r="A166" i="93"/>
  <c r="E2" i="90" s="1"/>
  <c r="A165" i="93"/>
  <c r="D2" i="90" s="1"/>
  <c r="A164" i="93"/>
  <c r="C2" i="90" s="1"/>
  <c r="A163" i="93"/>
  <c r="A162" i="93"/>
  <c r="A161" i="93"/>
  <c r="A160" i="93"/>
  <c r="A159" i="93"/>
  <c r="A158" i="93"/>
  <c r="A153" i="93"/>
  <c r="A113" i="93"/>
  <c r="A112" i="93"/>
  <c r="A111" i="93"/>
  <c r="A110" i="93"/>
  <c r="A109" i="93"/>
  <c r="A108" i="93"/>
  <c r="A107" i="93"/>
  <c r="A106" i="93"/>
  <c r="A105" i="93"/>
  <c r="A104" i="93"/>
  <c r="A103" i="93"/>
  <c r="A102" i="93"/>
  <c r="A101" i="93"/>
  <c r="A100" i="93"/>
  <c r="A99" i="93"/>
  <c r="A98" i="93"/>
  <c r="A97" i="93"/>
  <c r="A96" i="93"/>
  <c r="A95" i="93"/>
  <c r="A94" i="93"/>
  <c r="A93" i="93"/>
  <c r="A92" i="93"/>
  <c r="A91" i="93"/>
  <c r="A90" i="93"/>
  <c r="A89" i="93"/>
  <c r="A88" i="93"/>
  <c r="A87" i="93"/>
  <c r="A86" i="93"/>
  <c r="A85" i="93"/>
  <c r="A84" i="93"/>
  <c r="A83" i="93"/>
  <c r="A82" i="93"/>
  <c r="A81" i="93"/>
  <c r="A80" i="93"/>
  <c r="A79" i="93"/>
  <c r="A78" i="93"/>
  <c r="A77" i="93"/>
  <c r="A76" i="93"/>
  <c r="A75" i="93"/>
  <c r="A74" i="93"/>
  <c r="B4" i="10" s="1"/>
  <c r="A73" i="93"/>
  <c r="A72" i="93"/>
  <c r="A71" i="93"/>
  <c r="A4" i="77" s="1"/>
  <c r="A70" i="93"/>
  <c r="A69" i="93"/>
  <c r="B64" i="79" s="1"/>
  <c r="A67" i="93"/>
  <c r="B63" i="79" s="1"/>
  <c r="A65" i="93"/>
  <c r="B61" i="79" s="1"/>
  <c r="A63" i="93"/>
  <c r="B59" i="79" s="1"/>
  <c r="A61" i="93"/>
  <c r="B57" i="79" s="1"/>
  <c r="A60" i="93"/>
  <c r="B56" i="79" s="1"/>
  <c r="A59" i="93"/>
  <c r="B55" i="79" s="1"/>
  <c r="A58" i="93"/>
  <c r="B54" i="79" s="1"/>
  <c r="A57" i="93"/>
  <c r="B53" i="79" s="1"/>
  <c r="A56" i="93"/>
  <c r="B52" i="79" s="1"/>
  <c r="A55" i="93"/>
  <c r="B51" i="79" s="1"/>
  <c r="A54" i="93"/>
  <c r="B50" i="79" s="1"/>
  <c r="A52" i="93"/>
  <c r="B48" i="79" s="1"/>
  <c r="A51" i="93"/>
  <c r="B47" i="79" s="1"/>
  <c r="A50" i="93"/>
  <c r="B46" i="79" s="1"/>
  <c r="A48" i="93"/>
  <c r="A47" i="93"/>
  <c r="A39" i="93"/>
  <c r="B35" i="79" s="1"/>
  <c r="A37" i="93"/>
  <c r="B33" i="79" s="1"/>
  <c r="A35" i="93"/>
  <c r="B31" i="79" s="1"/>
  <c r="A31" i="93"/>
  <c r="A27" i="79" s="1"/>
  <c r="A30" i="93"/>
  <c r="A29" i="93"/>
  <c r="B25" i="79" s="1"/>
  <c r="A28" i="93"/>
  <c r="B24" i="79" s="1"/>
  <c r="A27" i="93"/>
  <c r="B23" i="79" s="1"/>
  <c r="A26" i="93"/>
  <c r="A22" i="79" s="1"/>
  <c r="A25" i="93"/>
  <c r="A24" i="93"/>
  <c r="B20" i="79" s="1"/>
  <c r="A23" i="93"/>
  <c r="B19" i="79" s="1"/>
  <c r="A22" i="93"/>
  <c r="B18" i="79" s="1"/>
  <c r="A21" i="93"/>
  <c r="B17" i="79" s="1"/>
  <c r="A20" i="93"/>
  <c r="A19" i="93"/>
  <c r="A18" i="93"/>
  <c r="A17" i="93"/>
  <c r="A16" i="93"/>
  <c r="A15" i="93"/>
  <c r="A14" i="93"/>
  <c r="B12" i="79" s="1"/>
  <c r="A13" i="93"/>
  <c r="B11" i="79" s="1"/>
  <c r="A12" i="93"/>
  <c r="A10" i="79" s="1"/>
  <c r="A11" i="93"/>
  <c r="A10" i="93"/>
  <c r="B8" i="79" s="1"/>
  <c r="A9" i="93"/>
  <c r="A8" i="93"/>
  <c r="A6" i="93"/>
  <c r="A6" i="79" s="1"/>
  <c r="A5" i="93"/>
  <c r="A4" i="93"/>
  <c r="A4" i="79" s="1"/>
  <c r="A3" i="93"/>
  <c r="A2" i="93"/>
  <c r="A2" i="79" s="1"/>
  <c r="D4" i="10" l="1"/>
  <c r="I2" i="90"/>
  <c r="C4" i="10"/>
  <c r="H2" i="90"/>
  <c r="E4" i="10"/>
  <c r="J2" i="90"/>
  <c r="F4" i="10"/>
  <c r="K2" i="90"/>
  <c r="G2" i="118"/>
  <c r="G4" i="10"/>
  <c r="C2" i="118"/>
  <c r="E2" i="118"/>
  <c r="F2" i="118"/>
  <c r="D2" i="118"/>
  <c r="B15" i="94"/>
  <c r="AV4" i="107"/>
  <c r="R4" i="111"/>
  <c r="AV4" i="108"/>
  <c r="AW4" i="107"/>
  <c r="S4" i="111"/>
  <c r="AW4" i="108"/>
  <c r="BE4" i="107"/>
  <c r="AA4" i="111"/>
  <c r="BE4" i="108"/>
  <c r="AX4" i="107"/>
  <c r="T4" i="111"/>
  <c r="AX4" i="108"/>
  <c r="BF4" i="107"/>
  <c r="C4" i="113"/>
  <c r="AB4" i="111"/>
  <c r="C2" i="109"/>
  <c r="BF4" i="108"/>
  <c r="AY4" i="107"/>
  <c r="U4" i="111"/>
  <c r="AY4" i="108"/>
  <c r="BG4" i="107"/>
  <c r="D4" i="113"/>
  <c r="AC4" i="111"/>
  <c r="D2" i="109"/>
  <c r="BG4" i="108"/>
  <c r="BH4" i="107"/>
  <c r="E4" i="113"/>
  <c r="AD4" i="111"/>
  <c r="E2" i="109"/>
  <c r="BH4" i="108"/>
  <c r="AZ4" i="107"/>
  <c r="V4" i="111"/>
  <c r="AZ4" i="108"/>
  <c r="BA4" i="107"/>
  <c r="W4" i="111"/>
  <c r="BA4" i="108"/>
  <c r="BI4" i="107"/>
  <c r="F4" i="113"/>
  <c r="AE4" i="111"/>
  <c r="F2" i="109"/>
  <c r="BI4" i="108"/>
  <c r="BB4" i="107"/>
  <c r="X4" i="111"/>
  <c r="BB4" i="108"/>
  <c r="BD4" i="107"/>
  <c r="Z4" i="111"/>
  <c r="BD4" i="108"/>
  <c r="AP4" i="107"/>
  <c r="AP4" i="108"/>
  <c r="BJ4" i="107"/>
  <c r="G4" i="113"/>
  <c r="AF4" i="111"/>
  <c r="G2" i="109"/>
  <c r="BJ4" i="108"/>
  <c r="AU4" i="107"/>
  <c r="AU4" i="108"/>
  <c r="BC4" i="107"/>
  <c r="Y4" i="111"/>
  <c r="BC4" i="108"/>
  <c r="B13" i="105"/>
  <c r="B21" i="105"/>
  <c r="B29" i="105"/>
  <c r="B38" i="105"/>
  <c r="B9" i="106"/>
  <c r="B17" i="106"/>
  <c r="B6" i="105"/>
  <c r="B14" i="105"/>
  <c r="B22" i="105"/>
  <c r="B30" i="105"/>
  <c r="B39" i="105"/>
  <c r="B2" i="106"/>
  <c r="B10" i="106"/>
  <c r="B7" i="105"/>
  <c r="B15" i="105"/>
  <c r="B23" i="105"/>
  <c r="B31" i="105"/>
  <c r="B40" i="105"/>
  <c r="B11" i="106"/>
  <c r="B8" i="105"/>
  <c r="B16" i="105"/>
  <c r="B24" i="105"/>
  <c r="B32" i="105"/>
  <c r="B41" i="105"/>
  <c r="B4" i="106"/>
  <c r="B12" i="106"/>
  <c r="B9" i="105"/>
  <c r="B17" i="105"/>
  <c r="B25" i="105"/>
  <c r="B33" i="105"/>
  <c r="B42" i="105"/>
  <c r="B5" i="106"/>
  <c r="B13" i="106"/>
  <c r="B10" i="105"/>
  <c r="B26" i="105"/>
  <c r="B34" i="105"/>
  <c r="B43" i="105"/>
  <c r="B14" i="106"/>
  <c r="B2" i="105"/>
  <c r="B11" i="105"/>
  <c r="B19" i="105"/>
  <c r="B27" i="105"/>
  <c r="B35" i="105"/>
  <c r="B44" i="105"/>
  <c r="B7" i="106"/>
  <c r="B15" i="106"/>
  <c r="B4" i="105"/>
  <c r="B12" i="105"/>
  <c r="B20" i="105"/>
  <c r="B28" i="105"/>
  <c r="B37" i="105"/>
  <c r="B8" i="106"/>
  <c r="B16" i="106"/>
  <c r="L4" i="103"/>
  <c r="AP5" i="106"/>
  <c r="AP4" i="105"/>
  <c r="X4" i="103"/>
  <c r="BB4" i="105"/>
  <c r="BB5" i="106"/>
  <c r="DE5" i="106" s="1"/>
  <c r="AF4" i="103"/>
  <c r="BJ5" i="106"/>
  <c r="BJ4" i="105"/>
  <c r="Q4" i="103"/>
  <c r="AU4" i="105"/>
  <c r="AU5" i="106"/>
  <c r="Y4" i="103"/>
  <c r="BC4" i="105"/>
  <c r="BC5" i="106"/>
  <c r="DF5" i="106" s="1"/>
  <c r="R4" i="103"/>
  <c r="AV5" i="106"/>
  <c r="CZ5" i="106" s="1"/>
  <c r="AV4" i="105"/>
  <c r="Z4" i="103"/>
  <c r="BD5" i="106"/>
  <c r="DG5" i="106" s="1"/>
  <c r="BD4" i="105"/>
  <c r="C4" i="106"/>
  <c r="AE4" i="103"/>
  <c r="BI5" i="106"/>
  <c r="DK5" i="106" s="1"/>
  <c r="BI4" i="105"/>
  <c r="S4" i="103"/>
  <c r="AW5" i="106"/>
  <c r="DA5" i="106" s="1"/>
  <c r="AW4" i="105"/>
  <c r="AA4" i="103"/>
  <c r="BE5" i="106"/>
  <c r="BE4" i="105"/>
  <c r="BP4" i="106"/>
  <c r="W4" i="103"/>
  <c r="BA5" i="106"/>
  <c r="DD5" i="106" s="1"/>
  <c r="BA4" i="105"/>
  <c r="T4" i="103"/>
  <c r="AX5" i="106"/>
  <c r="DB5" i="106" s="1"/>
  <c r="AX4" i="105"/>
  <c r="AB4" i="103"/>
  <c r="BF5" i="106"/>
  <c r="DH5" i="106" s="1"/>
  <c r="BF4" i="105"/>
  <c r="U4" i="103"/>
  <c r="AY4" i="105"/>
  <c r="AY5" i="106"/>
  <c r="DC5" i="106" s="1"/>
  <c r="AC4" i="103"/>
  <c r="BG5" i="106"/>
  <c r="DI5" i="106" s="1"/>
  <c r="BG4" i="105"/>
  <c r="V4" i="103"/>
  <c r="AZ5" i="106"/>
  <c r="AZ4" i="105"/>
  <c r="AD4" i="103"/>
  <c r="BH5" i="106"/>
  <c r="DJ5" i="106" s="1"/>
  <c r="BH4" i="105"/>
  <c r="B44" i="79"/>
  <c r="B43" i="79"/>
  <c r="N71" i="73"/>
  <c r="D4" i="88"/>
  <c r="D4" i="101"/>
  <c r="S4" i="98"/>
  <c r="S4" i="97"/>
  <c r="AW4" i="99"/>
  <c r="AW4" i="100"/>
  <c r="S4" i="96"/>
  <c r="S4" i="94"/>
  <c r="S65" i="94" s="1"/>
  <c r="G4" i="91"/>
  <c r="L4" i="101"/>
  <c r="AA4" i="98"/>
  <c r="AA4" i="97"/>
  <c r="BE4" i="99"/>
  <c r="BE4" i="100"/>
  <c r="AA4" i="96"/>
  <c r="AA4" i="94"/>
  <c r="AA65" i="94" s="1"/>
  <c r="E4" i="88"/>
  <c r="E4" i="101"/>
  <c r="T4" i="98"/>
  <c r="T4" i="97"/>
  <c r="AX4" i="99"/>
  <c r="AX4" i="100"/>
  <c r="T4" i="96"/>
  <c r="T4" i="94"/>
  <c r="T65" i="94" s="1"/>
  <c r="M4" i="101"/>
  <c r="AB4" i="98"/>
  <c r="AB4" i="97"/>
  <c r="BF4" i="99"/>
  <c r="BF4" i="100"/>
  <c r="AB4" i="96"/>
  <c r="AB4" i="94"/>
  <c r="AB65" i="94" s="1"/>
  <c r="F4" i="88"/>
  <c r="U4" i="98"/>
  <c r="U4" i="97"/>
  <c r="AY4" i="99"/>
  <c r="AY4" i="100"/>
  <c r="U4" i="96"/>
  <c r="F4" i="101"/>
  <c r="U4" i="94"/>
  <c r="U65" i="94" s="1"/>
  <c r="AC4" i="98"/>
  <c r="AC4" i="97"/>
  <c r="BG4" i="99"/>
  <c r="BG4" i="100"/>
  <c r="AC4" i="96"/>
  <c r="N4" i="101"/>
  <c r="AC4" i="94"/>
  <c r="AC65" i="94" s="1"/>
  <c r="G4" i="88"/>
  <c r="V4" i="98"/>
  <c r="V4" i="97"/>
  <c r="AZ4" i="99"/>
  <c r="AZ4" i="100"/>
  <c r="V4" i="96"/>
  <c r="G4" i="101"/>
  <c r="V4" i="94"/>
  <c r="V65" i="94" s="1"/>
  <c r="AD4" i="98"/>
  <c r="AD4" i="97"/>
  <c r="BH4" i="99"/>
  <c r="BH4" i="100"/>
  <c r="AD4" i="96"/>
  <c r="O4" i="101"/>
  <c r="AD4" i="94"/>
  <c r="AD65" i="94" s="1"/>
  <c r="C4" i="91"/>
  <c r="BA4" i="99"/>
  <c r="BA4" i="100"/>
  <c r="W4" i="96"/>
  <c r="H4" i="101"/>
  <c r="W4" i="97"/>
  <c r="W4" i="98"/>
  <c r="W4" i="94"/>
  <c r="W65" i="94" s="1"/>
  <c r="BI4" i="99"/>
  <c r="BI4" i="100"/>
  <c r="AE4" i="96"/>
  <c r="P4" i="101"/>
  <c r="AE4" i="98"/>
  <c r="AE4" i="97"/>
  <c r="AE4" i="94"/>
  <c r="AE65" i="94" s="1"/>
  <c r="L4" i="98"/>
  <c r="L4" i="97"/>
  <c r="AP4" i="99"/>
  <c r="AP4" i="100"/>
  <c r="L4" i="96"/>
  <c r="L4" i="94"/>
  <c r="L65" i="94" s="1"/>
  <c r="D4" i="91"/>
  <c r="BB4" i="100"/>
  <c r="X4" i="96"/>
  <c r="I4" i="101"/>
  <c r="X4" i="98"/>
  <c r="X4" i="97"/>
  <c r="BB4" i="99"/>
  <c r="X4" i="94"/>
  <c r="X65" i="94" s="1"/>
  <c r="BJ4" i="100"/>
  <c r="AF4" i="96"/>
  <c r="Q4" i="101"/>
  <c r="AF4" i="98"/>
  <c r="AF4" i="97"/>
  <c r="BJ4" i="99"/>
  <c r="AF4" i="94"/>
  <c r="AF65" i="94" s="1"/>
  <c r="AU4" i="100"/>
  <c r="Q4" i="98"/>
  <c r="Q4" i="97"/>
  <c r="AU4" i="99"/>
  <c r="Q4" i="96"/>
  <c r="Q4" i="94"/>
  <c r="Q65" i="94" s="1"/>
  <c r="E4" i="91"/>
  <c r="BC4" i="100"/>
  <c r="J4" i="101"/>
  <c r="Y4" i="98"/>
  <c r="Y4" i="97"/>
  <c r="BC4" i="99"/>
  <c r="Y4" i="96"/>
  <c r="Y4" i="94"/>
  <c r="Y65" i="94" s="1"/>
  <c r="C4" i="88"/>
  <c r="R4" i="96"/>
  <c r="C4" i="101"/>
  <c r="R4" i="98"/>
  <c r="R4" i="97"/>
  <c r="AV4" i="99"/>
  <c r="AV4" i="100"/>
  <c r="R4" i="94"/>
  <c r="R65" i="94" s="1"/>
  <c r="F4" i="91"/>
  <c r="Z4" i="96"/>
  <c r="K4" i="101"/>
  <c r="Z4" i="98"/>
  <c r="Z4" i="97"/>
  <c r="BD4" i="99"/>
  <c r="BD4" i="100"/>
  <c r="Z4" i="94"/>
  <c r="Z65" i="94" s="1"/>
  <c r="FT6" i="81"/>
  <c r="FO6" i="81"/>
  <c r="FU6" i="81"/>
  <c r="FP6" i="81"/>
  <c r="FS6" i="81"/>
  <c r="FN6" i="81"/>
  <c r="EM4" i="81"/>
  <c r="DP6" i="81"/>
  <c r="EO6" i="81"/>
  <c r="ET6" i="81"/>
  <c r="DL6" i="81"/>
  <c r="EP6" i="81"/>
  <c r="EU6" i="81"/>
  <c r="DR6" i="81"/>
  <c r="EQ6" i="81"/>
  <c r="EV6" i="81"/>
  <c r="DQ6" i="81"/>
  <c r="DM6" i="81"/>
  <c r="DW6" i="81"/>
  <c r="DK6" i="81"/>
  <c r="DV6" i="81"/>
  <c r="DU6" i="81"/>
  <c r="DI4" i="81"/>
  <c r="BZ4" i="81"/>
  <c r="DN4" i="81"/>
  <c r="CJ4" i="81"/>
  <c r="DX4" i="81"/>
  <c r="C2" i="83"/>
  <c r="CE4" i="81"/>
  <c r="CO4" i="81"/>
  <c r="EC4" i="81"/>
  <c r="D2" i="83"/>
  <c r="EH4" i="81"/>
  <c r="E2" i="83"/>
  <c r="CY4" i="81"/>
  <c r="F2" i="83"/>
  <c r="DD4" i="81"/>
  <c r="G2" i="83"/>
  <c r="C4" i="9"/>
  <c r="G4" i="9"/>
  <c r="D4" i="9"/>
  <c r="F4" i="9"/>
  <c r="E4" i="9"/>
  <c r="E12" i="9" l="1"/>
  <c r="E6" i="9"/>
  <c r="EL42" i="81" l="1"/>
  <c r="EJ42" i="81"/>
  <c r="EH42" i="81"/>
  <c r="EL37" i="81"/>
  <c r="EJ37" i="81"/>
  <c r="EH37" i="81"/>
  <c r="EJ32" i="81"/>
  <c r="EI32" i="81"/>
  <c r="EH32" i="81"/>
  <c r="EJ29" i="81"/>
  <c r="EI29" i="81"/>
  <c r="EH29" i="81"/>
  <c r="EK26" i="81"/>
  <c r="EK25" i="81" s="1"/>
  <c r="EJ26" i="81"/>
  <c r="EI26" i="81"/>
  <c r="EH26" i="81"/>
  <c r="EK19" i="81"/>
  <c r="EJ19" i="81"/>
  <c r="EI19" i="81"/>
  <c r="EH19" i="81"/>
  <c r="EK15" i="81"/>
  <c r="EJ15" i="81"/>
  <c r="EI15" i="81"/>
  <c r="EH15" i="81"/>
  <c r="EK12" i="81"/>
  <c r="EJ12" i="81"/>
  <c r="EI12" i="81"/>
  <c r="EH12" i="81"/>
  <c r="EL25" i="81" l="1"/>
  <c r="EI25" i="81"/>
  <c r="EJ25" i="81"/>
  <c r="EH25" i="81"/>
  <c r="EH11" i="81"/>
  <c r="EI11" i="81"/>
  <c r="EJ11" i="81"/>
  <c r="EK11" i="81"/>
  <c r="EI10" i="81" l="1"/>
  <c r="EJ10" i="81"/>
  <c r="EK48" i="81"/>
  <c r="EK10" i="81"/>
  <c r="EH10" i="81"/>
  <c r="EL48" i="81"/>
  <c r="EL10" i="81"/>
  <c r="EL53" i="81" s="1"/>
  <c r="EJ48" i="81"/>
  <c r="EJ53" i="81" s="1"/>
  <c r="EI48" i="81"/>
  <c r="EI53" i="81" s="1"/>
  <c r="EH48" i="81"/>
  <c r="EK53" i="81" l="1"/>
  <c r="EH53" i="81"/>
  <c r="D12" i="9"/>
  <c r="D6" i="9"/>
  <c r="F73" i="73" l="1"/>
  <c r="F74" i="73" l="1"/>
  <c r="F70" i="73"/>
  <c r="F71" i="73"/>
  <c r="F72" i="73"/>
  <c r="D14" i="115" l="1"/>
  <c r="D15" i="115" s="1"/>
  <c r="D16" i="115" l="1"/>
  <c r="EC32" i="81"/>
  <c r="EG42" i="81"/>
  <c r="EE42" i="81"/>
  <c r="EC42" i="81"/>
  <c r="EG37" i="81"/>
  <c r="EE37" i="81"/>
  <c r="EC37" i="81"/>
  <c r="EE32" i="81"/>
  <c r="ED32" i="81"/>
  <c r="EE29" i="81"/>
  <c r="ED29" i="81"/>
  <c r="EC29" i="81"/>
  <c r="EF26" i="81"/>
  <c r="EF25" i="81" s="1"/>
  <c r="EE26" i="81"/>
  <c r="ED26" i="81"/>
  <c r="EC26" i="81"/>
  <c r="EF19" i="81"/>
  <c r="EE19" i="81"/>
  <c r="ED19" i="81"/>
  <c r="EC19" i="81"/>
  <c r="EF15" i="81"/>
  <c r="EE15" i="81"/>
  <c r="ED15" i="81"/>
  <c r="EC15" i="81"/>
  <c r="EF12" i="81"/>
  <c r="EE12" i="81"/>
  <c r="ED12" i="81"/>
  <c r="EC12" i="81"/>
  <c r="EG25" i="81" l="1"/>
  <c r="ED25" i="81"/>
  <c r="EE25" i="81"/>
  <c r="EC25" i="81"/>
  <c r="EC11" i="81"/>
  <c r="ED11" i="81"/>
  <c r="EE11" i="81"/>
  <c r="EF11" i="81"/>
  <c r="ED10" i="81" l="1"/>
  <c r="EE10" i="81"/>
  <c r="EF48" i="81"/>
  <c r="EF10" i="81"/>
  <c r="EF53" i="81" s="1"/>
  <c r="EC10" i="81"/>
  <c r="EG48" i="81"/>
  <c r="EG10" i="81"/>
  <c r="EG53" i="81" s="1"/>
  <c r="EE48" i="81"/>
  <c r="ED48" i="81"/>
  <c r="ED53" i="81" s="1"/>
  <c r="EC48" i="81"/>
  <c r="EC53" i="81" l="1"/>
  <c r="EE53" i="81"/>
  <c r="H70" i="73"/>
  <c r="J70" i="73"/>
  <c r="L70" i="73"/>
  <c r="H71" i="73"/>
  <c r="J71" i="73"/>
  <c r="L71" i="73"/>
  <c r="H72" i="73"/>
  <c r="J72" i="73"/>
  <c r="L72" i="73"/>
  <c r="H73" i="73"/>
  <c r="J73" i="73"/>
  <c r="L73" i="73"/>
  <c r="H74" i="73"/>
  <c r="J74" i="73"/>
  <c r="L74" i="73"/>
  <c r="J69" i="73" l="1"/>
  <c r="L69" i="73"/>
  <c r="G10" i="115" s="1"/>
  <c r="C38" i="73"/>
  <c r="C34" i="73"/>
  <c r="C66" i="73"/>
  <c r="C41" i="73"/>
  <c r="C31" i="73"/>
  <c r="C28" i="73"/>
  <c r="G11" i="115" l="1"/>
  <c r="F10" i="115"/>
  <c r="G15" i="115"/>
  <c r="G13" i="115"/>
  <c r="EB42" i="81"/>
  <c r="DZ42" i="81"/>
  <c r="DX42" i="81"/>
  <c r="EB37" i="81"/>
  <c r="EB25" i="81" s="1"/>
  <c r="DZ37" i="81"/>
  <c r="DX37" i="81"/>
  <c r="DZ32" i="81"/>
  <c r="DZ25" i="81" s="1"/>
  <c r="DY32" i="81"/>
  <c r="DX32" i="81"/>
  <c r="DZ29" i="81"/>
  <c r="DY29" i="81"/>
  <c r="DX29" i="81"/>
  <c r="EA26" i="81"/>
  <c r="EA25" i="81" s="1"/>
  <c r="DZ26" i="81"/>
  <c r="DY26" i="81"/>
  <c r="DX26" i="81"/>
  <c r="EA19" i="81"/>
  <c r="DZ19" i="81"/>
  <c r="DY19" i="81"/>
  <c r="DX19" i="81"/>
  <c r="EA15" i="81"/>
  <c r="DZ15" i="81"/>
  <c r="DY15" i="81"/>
  <c r="DX15" i="81"/>
  <c r="EA12" i="81"/>
  <c r="DZ12" i="81"/>
  <c r="DY12" i="81"/>
  <c r="DX12" i="81"/>
  <c r="G16" i="115" l="1"/>
  <c r="DY25" i="81"/>
  <c r="EB48" i="81"/>
  <c r="EB10" i="81"/>
  <c r="EB53" i="81" s="1"/>
  <c r="EA11" i="81"/>
  <c r="EA10" i="81" s="1"/>
  <c r="DZ11" i="81"/>
  <c r="DZ10" i="81" s="1"/>
  <c r="DX25" i="81"/>
  <c r="EA48" i="81"/>
  <c r="DY11" i="81"/>
  <c r="DX11" i="81"/>
  <c r="DZ48" i="81"/>
  <c r="DY48" i="81" l="1"/>
  <c r="DY10" i="81"/>
  <c r="DZ53" i="81"/>
  <c r="EA53" i="81"/>
  <c r="DX48" i="81"/>
  <c r="DX10" i="81"/>
  <c r="DX53" i="81" s="1"/>
  <c r="C12" i="9"/>
  <c r="G12" i="9" s="1"/>
  <c r="C6" i="9"/>
  <c r="DY53" i="81" l="1"/>
  <c r="G6" i="9"/>
  <c r="L47" i="73"/>
  <c r="K47" i="73"/>
  <c r="J47" i="73"/>
  <c r="I47" i="73"/>
  <c r="H47" i="73"/>
  <c r="G47" i="73"/>
  <c r="F47" i="73"/>
  <c r="E47" i="73"/>
  <c r="D47" i="73"/>
  <c r="C47" i="73"/>
  <c r="E14" i="115"/>
  <c r="L27" i="73"/>
  <c r="K27" i="73"/>
  <c r="J27" i="73"/>
  <c r="I27" i="73"/>
  <c r="H27" i="73"/>
  <c r="G27" i="73"/>
  <c r="F27" i="73"/>
  <c r="E27" i="73"/>
  <c r="D27" i="73"/>
  <c r="C42" i="73" l="1"/>
  <c r="C14" i="115" l="1"/>
  <c r="DS33" i="81" l="1"/>
  <c r="DW46" i="81" l="1"/>
  <c r="DU46" i="81"/>
  <c r="DT46" i="81"/>
  <c r="DS46" i="81"/>
  <c r="DT45" i="81"/>
  <c r="DS45" i="81"/>
  <c r="DW44" i="81"/>
  <c r="DS44" i="81"/>
  <c r="DW43" i="81"/>
  <c r="DU43" i="81"/>
  <c r="DU42" i="81" s="1"/>
  <c r="DS43" i="81"/>
  <c r="DW40" i="81"/>
  <c r="DS40" i="81"/>
  <c r="DU39" i="81"/>
  <c r="DU37" i="81" s="1"/>
  <c r="DS39" i="81"/>
  <c r="DW38" i="81"/>
  <c r="DS38" i="81"/>
  <c r="DU33" i="81"/>
  <c r="DU32" i="81" s="1"/>
  <c r="DT33" i="81"/>
  <c r="DT32" i="81" s="1"/>
  <c r="DS32" i="81"/>
  <c r="DU31" i="81"/>
  <c r="DS31" i="81"/>
  <c r="DU30" i="81"/>
  <c r="DU29" i="81" s="1"/>
  <c r="DS30" i="81"/>
  <c r="DV28" i="81"/>
  <c r="DV26" i="81" s="1"/>
  <c r="DV25" i="81" s="1"/>
  <c r="DU28" i="81"/>
  <c r="DT28" i="81"/>
  <c r="DS28" i="81"/>
  <c r="DU27" i="81"/>
  <c r="DT27" i="81"/>
  <c r="DT26" i="81" s="1"/>
  <c r="DS27" i="81"/>
  <c r="DV23" i="81"/>
  <c r="DU23" i="81"/>
  <c r="DT23" i="81"/>
  <c r="DS23" i="81"/>
  <c r="DV22" i="81"/>
  <c r="DU22" i="81"/>
  <c r="DT22" i="81"/>
  <c r="DS22" i="81"/>
  <c r="DV21" i="81"/>
  <c r="DU21" i="81"/>
  <c r="DT21" i="81"/>
  <c r="DS21" i="81"/>
  <c r="DV20" i="81"/>
  <c r="DU20" i="81"/>
  <c r="DT20" i="81"/>
  <c r="DT19" i="81" s="1"/>
  <c r="DS20" i="81"/>
  <c r="DV18" i="81"/>
  <c r="DU18" i="81"/>
  <c r="DT18" i="81"/>
  <c r="DS18" i="81"/>
  <c r="DV17" i="81"/>
  <c r="DU17" i="81"/>
  <c r="DT17" i="81"/>
  <c r="DS17" i="81"/>
  <c r="DV16" i="81"/>
  <c r="DU16" i="81"/>
  <c r="DT16" i="81"/>
  <c r="DS16" i="81"/>
  <c r="DV14" i="81"/>
  <c r="DU14" i="81"/>
  <c r="DT14" i="81"/>
  <c r="DS14" i="81"/>
  <c r="DV13" i="81"/>
  <c r="DU13" i="81"/>
  <c r="DT13" i="81"/>
  <c r="DS13" i="81"/>
  <c r="DV8" i="81"/>
  <c r="DU8" i="81"/>
  <c r="DT8" i="81"/>
  <c r="DS8" i="81"/>
  <c r="DW37" i="81" l="1"/>
  <c r="DV12" i="81"/>
  <c r="DS15" i="81"/>
  <c r="DT12" i="81"/>
  <c r="DS12" i="81"/>
  <c r="DU12" i="81"/>
  <c r="DV15" i="81"/>
  <c r="DU19" i="81"/>
  <c r="DU26" i="81"/>
  <c r="DU25" i="81" s="1"/>
  <c r="DS42" i="81"/>
  <c r="DV19" i="81"/>
  <c r="DS26" i="81"/>
  <c r="DS29" i="81"/>
  <c r="DW42" i="81"/>
  <c r="DW25" i="81" s="1"/>
  <c r="DW48" i="81" s="1"/>
  <c r="DS37" i="81"/>
  <c r="DT25" i="81"/>
  <c r="DU15" i="81"/>
  <c r="DT15" i="81"/>
  <c r="DT11" i="81" s="1"/>
  <c r="DS19" i="81"/>
  <c r="DS11" i="81" s="1"/>
  <c r="DV11" i="81"/>
  <c r="DV48" i="81" s="1"/>
  <c r="DT48" i="81" l="1"/>
  <c r="DS25" i="81"/>
  <c r="DU11" i="81"/>
  <c r="DS48" i="81"/>
  <c r="DU48" i="81"/>
  <c r="DR42" i="81"/>
  <c r="DP42" i="81"/>
  <c r="DN42" i="81"/>
  <c r="DR37" i="81"/>
  <c r="DP37" i="81"/>
  <c r="DN37" i="81"/>
  <c r="DP32" i="81"/>
  <c r="DO32" i="81"/>
  <c r="DN32" i="81"/>
  <c r="DP29" i="81"/>
  <c r="DO29" i="81"/>
  <c r="DN29" i="81"/>
  <c r="DQ26" i="81"/>
  <c r="DQ25" i="81" s="1"/>
  <c r="DP26" i="81"/>
  <c r="DO26" i="81"/>
  <c r="DN26" i="81"/>
  <c r="DQ19" i="81"/>
  <c r="DP19" i="81"/>
  <c r="DO19" i="81"/>
  <c r="DN19" i="81"/>
  <c r="DN11" i="81" s="1"/>
  <c r="DQ15" i="81"/>
  <c r="DP15" i="81"/>
  <c r="DO15" i="81"/>
  <c r="DN15" i="81"/>
  <c r="DQ12" i="81"/>
  <c r="DP12" i="81"/>
  <c r="DO12" i="81"/>
  <c r="DN12" i="81"/>
  <c r="DP11" i="81" l="1"/>
  <c r="DQ11" i="81"/>
  <c r="DO11" i="81"/>
  <c r="DR25" i="81"/>
  <c r="DR48" i="81" s="1"/>
  <c r="DP25" i="81"/>
  <c r="DP48" i="81" s="1"/>
  <c r="DQ48" i="81"/>
  <c r="DO25" i="81"/>
  <c r="DO48" i="81" s="1"/>
  <c r="DN25" i="81"/>
  <c r="DN48" i="81" s="1"/>
  <c r="DM42" i="81" l="1"/>
  <c r="DK42" i="81"/>
  <c r="DM37" i="81"/>
  <c r="DK37" i="81"/>
  <c r="DK32" i="81"/>
  <c r="DJ32" i="81"/>
  <c r="DK29" i="81"/>
  <c r="DJ29" i="81"/>
  <c r="DL26" i="81"/>
  <c r="DL25" i="81" s="1"/>
  <c r="DK26" i="81"/>
  <c r="DJ26" i="81"/>
  <c r="DL19" i="81"/>
  <c r="DK19" i="81"/>
  <c r="DJ19" i="81"/>
  <c r="DL15" i="81"/>
  <c r="DK15" i="81"/>
  <c r="DJ15" i="81"/>
  <c r="DL12" i="81"/>
  <c r="DK12" i="81"/>
  <c r="DJ12" i="81"/>
  <c r="DL11" i="81" l="1"/>
  <c r="DJ11" i="81"/>
  <c r="DJ25" i="81"/>
  <c r="DM25" i="81"/>
  <c r="DM48" i="81" s="1"/>
  <c r="DK11" i="81"/>
  <c r="DK25" i="81"/>
  <c r="DK48" i="81" s="1"/>
  <c r="DL48" i="81"/>
  <c r="DJ48" i="81"/>
  <c r="DH42" i="81" l="1"/>
  <c r="DF42" i="81"/>
  <c r="DD42" i="81"/>
  <c r="DH37" i="81"/>
  <c r="DF37" i="81"/>
  <c r="DD37" i="81"/>
  <c r="DF32" i="81"/>
  <c r="DE32" i="81"/>
  <c r="DD32" i="81"/>
  <c r="DF29" i="81"/>
  <c r="DE29" i="81"/>
  <c r="DD29" i="81"/>
  <c r="DG26" i="81"/>
  <c r="DF26" i="81"/>
  <c r="DE26" i="81"/>
  <c r="DD26" i="81"/>
  <c r="DG25" i="81"/>
  <c r="DG19" i="81"/>
  <c r="DF19" i="81"/>
  <c r="DE19" i="81"/>
  <c r="DD19" i="81"/>
  <c r="DG15" i="81"/>
  <c r="DF15" i="81"/>
  <c r="DE15" i="81"/>
  <c r="DD15" i="81"/>
  <c r="DG12" i="81"/>
  <c r="DF12" i="81"/>
  <c r="DE12" i="81"/>
  <c r="DD12" i="81"/>
  <c r="DH25" i="81" l="1"/>
  <c r="DH48" i="81" s="1"/>
  <c r="DD25" i="81"/>
  <c r="DE25" i="81"/>
  <c r="DF25" i="81"/>
  <c r="DE11" i="81"/>
  <c r="DG11" i="81"/>
  <c r="DG48" i="81" s="1"/>
  <c r="DD11" i="81"/>
  <c r="DF11" i="81"/>
  <c r="DE48" i="81" l="1"/>
  <c r="DF48" i="81"/>
  <c r="DD48" i="81"/>
  <c r="CZ29" i="81"/>
  <c r="DA29" i="81" l="1"/>
  <c r="CY29" i="81"/>
  <c r="DC42" i="81"/>
  <c r="DA42" i="81"/>
  <c r="CY42" i="81"/>
  <c r="DC37" i="81"/>
  <c r="DA37" i="81"/>
  <c r="CY37" i="81"/>
  <c r="DA32" i="81"/>
  <c r="CZ32" i="81"/>
  <c r="CY32" i="81"/>
  <c r="DB26" i="81"/>
  <c r="DB25" i="81" s="1"/>
  <c r="DA26" i="81"/>
  <c r="CZ26" i="81"/>
  <c r="CY26" i="81"/>
  <c r="DB19" i="81"/>
  <c r="DA19" i="81"/>
  <c r="CZ19" i="81"/>
  <c r="CY19" i="81"/>
  <c r="DB15" i="81"/>
  <c r="DA15" i="81"/>
  <c r="CZ15" i="81"/>
  <c r="CY15" i="81"/>
  <c r="DB12" i="81"/>
  <c r="DA12" i="81"/>
  <c r="CZ12" i="81"/>
  <c r="CY12" i="81"/>
  <c r="DB11" i="81" l="1"/>
  <c r="DB48" i="81" s="1"/>
  <c r="CY11" i="81"/>
  <c r="DC25" i="81"/>
  <c r="DC48" i="81" s="1"/>
  <c r="CY25" i="81"/>
  <c r="DA11" i="81"/>
  <c r="CZ25" i="81"/>
  <c r="DA25" i="81"/>
  <c r="CZ11" i="81"/>
  <c r="CY48" i="81" l="1"/>
  <c r="DA48" i="81"/>
  <c r="CZ48" i="81"/>
  <c r="H16" i="87" l="1"/>
  <c r="G16" i="87"/>
  <c r="F16" i="87"/>
  <c r="E16" i="87"/>
  <c r="D16" i="87"/>
  <c r="H8" i="87"/>
  <c r="G8" i="87"/>
  <c r="F8" i="87"/>
  <c r="E8" i="87"/>
  <c r="D8" i="87"/>
  <c r="CI42" i="81" l="1"/>
  <c r="CG42" i="81"/>
  <c r="CE42" i="81"/>
  <c r="CI37" i="81"/>
  <c r="CG37" i="81"/>
  <c r="CE37" i="81"/>
  <c r="CG32" i="81"/>
  <c r="CF32" i="81"/>
  <c r="CE32" i="81"/>
  <c r="CG29" i="81"/>
  <c r="CE29" i="81"/>
  <c r="CH26" i="81"/>
  <c r="CH25" i="81" s="1"/>
  <c r="CG26" i="81"/>
  <c r="CF26" i="81"/>
  <c r="CE26" i="81"/>
  <c r="CH19" i="81"/>
  <c r="CG19" i="81"/>
  <c r="CF19" i="81"/>
  <c r="CE19" i="81"/>
  <c r="CH15" i="81"/>
  <c r="CG15" i="81"/>
  <c r="CF15" i="81"/>
  <c r="CE15" i="81"/>
  <c r="CH12" i="81"/>
  <c r="CG12" i="81"/>
  <c r="CF12" i="81"/>
  <c r="CE12" i="81"/>
  <c r="CD42" i="81"/>
  <c r="CB42" i="81"/>
  <c r="BZ42" i="81"/>
  <c r="CD37" i="81"/>
  <c r="CB37" i="81"/>
  <c r="BZ37" i="81"/>
  <c r="CB32" i="81"/>
  <c r="CA32" i="81"/>
  <c r="BZ32" i="81"/>
  <c r="CB29" i="81"/>
  <c r="BZ29" i="81"/>
  <c r="CC26" i="81"/>
  <c r="CC25" i="81" s="1"/>
  <c r="CB26" i="81"/>
  <c r="CA26" i="81"/>
  <c r="BZ26" i="81"/>
  <c r="CC19" i="81"/>
  <c r="CB19" i="81"/>
  <c r="CA19" i="81"/>
  <c r="BZ19" i="81"/>
  <c r="CC15" i="81"/>
  <c r="CB15" i="81"/>
  <c r="CA15" i="81"/>
  <c r="BZ15" i="81"/>
  <c r="CC12" i="81"/>
  <c r="CB12" i="81"/>
  <c r="CA12" i="81"/>
  <c r="BZ12" i="81"/>
  <c r="CW8" i="81"/>
  <c r="CV8" i="81"/>
  <c r="CU8" i="81"/>
  <c r="CT8" i="81"/>
  <c r="CX46" i="81"/>
  <c r="CV46" i="81"/>
  <c r="CU46" i="81"/>
  <c r="CT46" i="81"/>
  <c r="CU45" i="81"/>
  <c r="CT45" i="81"/>
  <c r="CX44" i="81"/>
  <c r="CT44" i="81"/>
  <c r="CX43" i="81"/>
  <c r="CV43" i="81"/>
  <c r="CV42" i="81" s="1"/>
  <c r="CT43" i="81"/>
  <c r="CT41" i="81"/>
  <c r="CX40" i="81"/>
  <c r="CT40" i="81"/>
  <c r="CV39" i="81"/>
  <c r="CV37" i="81" s="1"/>
  <c r="CT39" i="81"/>
  <c r="CX38" i="81"/>
  <c r="CT38" i="81"/>
  <c r="CV33" i="81"/>
  <c r="CV32" i="81" s="1"/>
  <c r="CU33" i="81"/>
  <c r="CU32" i="81" s="1"/>
  <c r="CT33" i="81"/>
  <c r="CT32" i="81" s="1"/>
  <c r="CV31" i="81"/>
  <c r="CT31" i="81"/>
  <c r="CV30" i="81"/>
  <c r="CT30" i="81"/>
  <c r="CW28" i="81"/>
  <c r="CW26" i="81" s="1"/>
  <c r="CW25" i="81" s="1"/>
  <c r="CV28" i="81"/>
  <c r="CU28" i="81"/>
  <c r="CT28" i="81"/>
  <c r="CV27" i="81"/>
  <c r="CU27" i="81"/>
  <c r="CT27" i="81"/>
  <c r="CW23" i="81"/>
  <c r="CV23" i="81"/>
  <c r="CU23" i="81"/>
  <c r="CT23" i="81"/>
  <c r="CW22" i="81"/>
  <c r="CV22" i="81"/>
  <c r="CU22" i="81"/>
  <c r="CT22" i="81"/>
  <c r="CW21" i="81"/>
  <c r="CV21" i="81"/>
  <c r="CU21" i="81"/>
  <c r="CT21" i="81"/>
  <c r="CW20" i="81"/>
  <c r="CV20" i="81"/>
  <c r="CU20" i="81"/>
  <c r="CT20" i="81"/>
  <c r="CW18" i="81"/>
  <c r="CV18" i="81"/>
  <c r="CU18" i="81"/>
  <c r="CT18" i="81"/>
  <c r="CW17" i="81"/>
  <c r="CV17" i="81"/>
  <c r="CU17" i="81"/>
  <c r="CT17" i="81"/>
  <c r="CW16" i="81"/>
  <c r="CV16" i="81"/>
  <c r="CU16" i="81"/>
  <c r="CT16" i="81"/>
  <c r="CW14" i="81"/>
  <c r="CV14" i="81"/>
  <c r="CU14" i="81"/>
  <c r="CT14" i="81"/>
  <c r="CW13" i="81"/>
  <c r="CV13" i="81"/>
  <c r="CU13" i="81"/>
  <c r="CT13" i="81"/>
  <c r="CS42" i="81"/>
  <c r="CQ42" i="81"/>
  <c r="CO42" i="81"/>
  <c r="CS37" i="81"/>
  <c r="CQ37" i="81"/>
  <c r="CO37" i="81"/>
  <c r="CQ32" i="81"/>
  <c r="CP32" i="81"/>
  <c r="CO32" i="81"/>
  <c r="CQ29" i="81"/>
  <c r="CO29" i="81"/>
  <c r="CR26" i="81"/>
  <c r="CR25" i="81" s="1"/>
  <c r="CQ26" i="81"/>
  <c r="CP26" i="81"/>
  <c r="CO26" i="81"/>
  <c r="CR19" i="81"/>
  <c r="CQ19" i="81"/>
  <c r="CP19" i="81"/>
  <c r="CO19" i="81"/>
  <c r="CR15" i="81"/>
  <c r="CQ15" i="81"/>
  <c r="CP15" i="81"/>
  <c r="CO15" i="81"/>
  <c r="CR12" i="81"/>
  <c r="CQ12" i="81"/>
  <c r="CP12" i="81"/>
  <c r="CO12" i="81"/>
  <c r="CV19" i="81" l="1"/>
  <c r="CF25" i="81"/>
  <c r="CW12" i="81"/>
  <c r="CX42" i="81"/>
  <c r="CE11" i="81"/>
  <c r="BZ11" i="81"/>
  <c r="CF11" i="81"/>
  <c r="CF48" i="81" s="1"/>
  <c r="CA25" i="81"/>
  <c r="CS25" i="81"/>
  <c r="CS48" i="81" s="1"/>
  <c r="CX37" i="81"/>
  <c r="CC11" i="81"/>
  <c r="CC48" i="81" s="1"/>
  <c r="CD25" i="81"/>
  <c r="CD48" i="81" s="1"/>
  <c r="CA11" i="81"/>
  <c r="CB11" i="81"/>
  <c r="CE25" i="81"/>
  <c r="CG11" i="81"/>
  <c r="CH11" i="81"/>
  <c r="CH48" i="81" s="1"/>
  <c r="BZ25" i="81"/>
  <c r="CI25" i="81"/>
  <c r="CI48" i="81" s="1"/>
  <c r="CB25" i="81"/>
  <c r="CG25" i="81"/>
  <c r="CU12" i="81"/>
  <c r="CT37" i="81"/>
  <c r="CU19" i="81"/>
  <c r="CU26" i="81"/>
  <c r="CU25" i="81" s="1"/>
  <c r="CV26" i="81"/>
  <c r="CV29" i="81"/>
  <c r="CW15" i="81"/>
  <c r="CT12" i="81"/>
  <c r="CV15" i="81"/>
  <c r="CT19" i="81"/>
  <c r="CT29" i="81"/>
  <c r="CW19" i="81"/>
  <c r="CT15" i="81"/>
  <c r="CV12" i="81"/>
  <c r="CV11" i="81" s="1"/>
  <c r="CT42" i="81"/>
  <c r="CU15" i="81"/>
  <c r="CT26" i="81"/>
  <c r="CX25" i="81"/>
  <c r="CX48" i="81" s="1"/>
  <c r="CP25" i="81"/>
  <c r="CO25" i="81"/>
  <c r="CQ25" i="81"/>
  <c r="CO11" i="81"/>
  <c r="CQ11" i="81"/>
  <c r="CP11" i="81"/>
  <c r="CR11" i="81"/>
  <c r="CR48" i="81" s="1"/>
  <c r="CG48" i="81" l="1"/>
  <c r="BZ48" i="81"/>
  <c r="CA48" i="81"/>
  <c r="CO48" i="81"/>
  <c r="CU11" i="81"/>
  <c r="CU48" i="81" s="1"/>
  <c r="CE48" i="81"/>
  <c r="CP48" i="81"/>
  <c r="CT11" i="81"/>
  <c r="CB48" i="81"/>
  <c r="CQ48" i="81"/>
  <c r="CV25" i="81"/>
  <c r="CV48" i="81" s="1"/>
  <c r="CT25" i="81"/>
  <c r="CW11" i="81"/>
  <c r="CW48" i="81" s="1"/>
  <c r="CT48" i="81" l="1"/>
  <c r="F44" i="82" l="1"/>
  <c r="F43" i="82"/>
  <c r="C44" i="82"/>
  <c r="D51" i="82" l="1"/>
  <c r="D47" i="82"/>
  <c r="D33" i="82"/>
  <c r="D31" i="82"/>
  <c r="F33" i="82" l="1"/>
  <c r="F31" i="82"/>
  <c r="F22" i="82"/>
  <c r="F18" i="82"/>
  <c r="F16" i="82"/>
  <c r="CM19" i="81" l="1"/>
  <c r="CL19" i="81"/>
  <c r="CK19" i="81"/>
  <c r="CJ19" i="81"/>
  <c r="CM15" i="81"/>
  <c r="CL15" i="81"/>
  <c r="CK15" i="81"/>
  <c r="CJ15" i="81"/>
  <c r="CM12" i="81"/>
  <c r="CL12" i="81"/>
  <c r="CK12" i="81"/>
  <c r="CJ12" i="81"/>
  <c r="CN42" i="81"/>
  <c r="CL42" i="81"/>
  <c r="CJ42" i="81"/>
  <c r="CN37" i="81"/>
  <c r="CL37" i="81"/>
  <c r="CJ37" i="81"/>
  <c r="CL32" i="81"/>
  <c r="CK32" i="81"/>
  <c r="CJ32" i="81"/>
  <c r="CL29" i="81"/>
  <c r="CJ29" i="81"/>
  <c r="CM26" i="81"/>
  <c r="CM25" i="81" s="1"/>
  <c r="CL26" i="81"/>
  <c r="CK26" i="81"/>
  <c r="CJ26" i="81"/>
  <c r="CJ11" i="81" l="1"/>
  <c r="CK11" i="81"/>
  <c r="CL11" i="81"/>
  <c r="CK25" i="81"/>
  <c r="CK48" i="81" s="1"/>
  <c r="CN25" i="81"/>
  <c r="CN48" i="81" s="1"/>
  <c r="CM11" i="81"/>
  <c r="CM48" i="81" s="1"/>
  <c r="CL25" i="81"/>
  <c r="CL48" i="81" s="1"/>
  <c r="CJ25" i="81"/>
  <c r="CJ48" i="81" s="1"/>
  <c r="BY46" i="81" l="1"/>
  <c r="BW46" i="81"/>
  <c r="BV46" i="81"/>
  <c r="BU46" i="81"/>
  <c r="AZ46" i="81"/>
  <c r="AX46" i="81"/>
  <c r="AW46" i="81"/>
  <c r="AV46" i="81"/>
  <c r="AA46" i="81"/>
  <c r="Y46" i="81"/>
  <c r="X46" i="81"/>
  <c r="W46" i="81"/>
  <c r="BV45" i="81"/>
  <c r="BU45" i="81"/>
  <c r="AW45" i="81"/>
  <c r="AV45" i="81"/>
  <c r="X45" i="81"/>
  <c r="W45" i="81"/>
  <c r="BY44" i="81"/>
  <c r="BY42" i="81" s="1"/>
  <c r="BU44" i="81"/>
  <c r="AZ44" i="81"/>
  <c r="AV44" i="81"/>
  <c r="AA44" i="81"/>
  <c r="W44" i="81"/>
  <c r="BY43" i="81"/>
  <c r="BW43" i="81"/>
  <c r="BU43" i="81"/>
  <c r="AZ43" i="81"/>
  <c r="AX43" i="81"/>
  <c r="AX42" i="81" s="1"/>
  <c r="AV43" i="81"/>
  <c r="AA43" i="81"/>
  <c r="Y43" i="81"/>
  <c r="Y42" i="81" s="1"/>
  <c r="W43" i="81"/>
  <c r="BW42" i="81"/>
  <c r="BT42" i="81"/>
  <c r="BR42" i="81"/>
  <c r="BP42" i="81"/>
  <c r="BO42" i="81"/>
  <c r="BM42" i="81"/>
  <c r="BK42" i="81"/>
  <c r="BJ42" i="81"/>
  <c r="BH42" i="81"/>
  <c r="BF42" i="81"/>
  <c r="BE42" i="81"/>
  <c r="BC42" i="81"/>
  <c r="BA42" i="81"/>
  <c r="AU42" i="81"/>
  <c r="AS42" i="81"/>
  <c r="AQ42" i="81"/>
  <c r="AP42" i="81"/>
  <c r="AN42" i="81"/>
  <c r="AL42" i="81"/>
  <c r="AK42" i="81"/>
  <c r="AI42" i="81"/>
  <c r="AG42" i="81"/>
  <c r="AF42" i="81"/>
  <c r="AD42" i="81"/>
  <c r="AB42" i="81"/>
  <c r="V42" i="81"/>
  <c r="T42" i="81"/>
  <c r="R42" i="81"/>
  <c r="Q42" i="81"/>
  <c r="O42" i="81"/>
  <c r="M42" i="81"/>
  <c r="L42" i="81"/>
  <c r="J42" i="81"/>
  <c r="H42" i="81"/>
  <c r="G42" i="81"/>
  <c r="E42" i="81"/>
  <c r="C42" i="81"/>
  <c r="BU41" i="81"/>
  <c r="W41" i="81"/>
  <c r="BY40" i="81"/>
  <c r="BU40" i="81"/>
  <c r="AZ40" i="81"/>
  <c r="AV40" i="81"/>
  <c r="AA40" i="81"/>
  <c r="W40" i="81"/>
  <c r="BW39" i="81"/>
  <c r="BW37" i="81" s="1"/>
  <c r="BU39" i="81"/>
  <c r="AX39" i="81"/>
  <c r="AX37" i="81" s="1"/>
  <c r="AV39" i="81"/>
  <c r="Y39" i="81"/>
  <c r="Y37" i="81" s="1"/>
  <c r="W39" i="81"/>
  <c r="BY38" i="81"/>
  <c r="BY37" i="81" s="1"/>
  <c r="BU38" i="81"/>
  <c r="AZ38" i="81"/>
  <c r="AZ37" i="81" s="1"/>
  <c r="AV38" i="81"/>
  <c r="AA38" i="81"/>
  <c r="W38" i="81"/>
  <c r="BT37" i="81"/>
  <c r="BR37" i="81"/>
  <c r="BP37" i="81"/>
  <c r="BO37" i="81"/>
  <c r="BM37" i="81"/>
  <c r="BK37" i="81"/>
  <c r="BJ37" i="81"/>
  <c r="BJ25" i="81" s="1"/>
  <c r="BJ48" i="81" s="1"/>
  <c r="BH37" i="81"/>
  <c r="BF37" i="81"/>
  <c r="BE37" i="81"/>
  <c r="BC37" i="81"/>
  <c r="BA37" i="81"/>
  <c r="AU37" i="81"/>
  <c r="AS37" i="81"/>
  <c r="AQ37" i="81"/>
  <c r="AP37" i="81"/>
  <c r="AP25" i="81" s="1"/>
  <c r="AP48" i="81" s="1"/>
  <c r="AN37" i="81"/>
  <c r="AL37" i="81"/>
  <c r="AK37" i="81"/>
  <c r="AK25" i="81" s="1"/>
  <c r="AK48" i="81" s="1"/>
  <c r="AI37" i="81"/>
  <c r="AG37" i="81"/>
  <c r="AF37" i="81"/>
  <c r="AD37" i="81"/>
  <c r="AB37" i="81"/>
  <c r="V37" i="81"/>
  <c r="V25" i="81" s="1"/>
  <c r="V48" i="81" s="1"/>
  <c r="T37" i="81"/>
  <c r="R37" i="81"/>
  <c r="Q37" i="81"/>
  <c r="O37" i="81"/>
  <c r="M37" i="81"/>
  <c r="L37" i="81"/>
  <c r="J37" i="81"/>
  <c r="H37" i="81"/>
  <c r="G37" i="81"/>
  <c r="E37" i="81"/>
  <c r="C37" i="81"/>
  <c r="BW33" i="81"/>
  <c r="BW32" i="81" s="1"/>
  <c r="BV33" i="81"/>
  <c r="BV32" i="81" s="1"/>
  <c r="BU33" i="81"/>
  <c r="BU32" i="81" s="1"/>
  <c r="AX33" i="81"/>
  <c r="AX32" i="81" s="1"/>
  <c r="AW33" i="81"/>
  <c r="AW32" i="81" s="1"/>
  <c r="AV33" i="81"/>
  <c r="Y33" i="81"/>
  <c r="Y32" i="81" s="1"/>
  <c r="X33" i="81"/>
  <c r="X32" i="81" s="1"/>
  <c r="W33" i="81"/>
  <c r="BR32" i="81"/>
  <c r="BQ32" i="81"/>
  <c r="BP32" i="81"/>
  <c r="BM32" i="81"/>
  <c r="BL32" i="81"/>
  <c r="BK32" i="81"/>
  <c r="BH32" i="81"/>
  <c r="BG32" i="81"/>
  <c r="BF32" i="81"/>
  <c r="BC32" i="81"/>
  <c r="BB32" i="81"/>
  <c r="BA32" i="81"/>
  <c r="AS32" i="81"/>
  <c r="AR32" i="81"/>
  <c r="AQ32" i="81"/>
  <c r="AN32" i="81"/>
  <c r="AM32" i="81"/>
  <c r="AL32" i="81"/>
  <c r="AI32" i="81"/>
  <c r="AH32" i="81"/>
  <c r="AG32" i="81"/>
  <c r="AD32" i="81"/>
  <c r="AC32" i="81"/>
  <c r="AB32" i="81"/>
  <c r="T32" i="81"/>
  <c r="S32" i="81"/>
  <c r="R32" i="81"/>
  <c r="O32" i="81"/>
  <c r="N32" i="81"/>
  <c r="M32" i="81"/>
  <c r="J32" i="81"/>
  <c r="I32" i="81"/>
  <c r="H32" i="81"/>
  <c r="E32" i="81"/>
  <c r="D32" i="81"/>
  <c r="C32" i="81"/>
  <c r="BW31" i="81"/>
  <c r="BU31" i="81"/>
  <c r="AX31" i="81"/>
  <c r="AV31" i="81"/>
  <c r="Y31" i="81"/>
  <c r="W31" i="81"/>
  <c r="BW30" i="81"/>
  <c r="BU30" i="81"/>
  <c r="AX30" i="81"/>
  <c r="AV30" i="81"/>
  <c r="Y30" i="81"/>
  <c r="W30" i="81"/>
  <c r="BR29" i="81"/>
  <c r="BP29" i="81"/>
  <c r="BM29" i="81"/>
  <c r="BK29" i="81"/>
  <c r="BH29" i="81"/>
  <c r="BF29" i="81"/>
  <c r="BC29" i="81"/>
  <c r="BA29" i="81"/>
  <c r="AS29" i="81"/>
  <c r="AQ29" i="81"/>
  <c r="AN29" i="81"/>
  <c r="AL29" i="81"/>
  <c r="AI29" i="81"/>
  <c r="AG29" i="81"/>
  <c r="AD29" i="81"/>
  <c r="AB29" i="81"/>
  <c r="T29" i="81"/>
  <c r="R29" i="81"/>
  <c r="O29" i="81"/>
  <c r="M29" i="81"/>
  <c r="J29" i="81"/>
  <c r="H29" i="81"/>
  <c r="E29" i="81"/>
  <c r="C29" i="81"/>
  <c r="BX28" i="81"/>
  <c r="BX26" i="81" s="1"/>
  <c r="BX25" i="81" s="1"/>
  <c r="BW28" i="81"/>
  <c r="BV28" i="81"/>
  <c r="BU28" i="81"/>
  <c r="AY28" i="81"/>
  <c r="AY26" i="81" s="1"/>
  <c r="AY25" i="81" s="1"/>
  <c r="AX28" i="81"/>
  <c r="AW28" i="81"/>
  <c r="AV28" i="81"/>
  <c r="Z28" i="81"/>
  <c r="Z26" i="81" s="1"/>
  <c r="Z25" i="81" s="1"/>
  <c r="Y28" i="81"/>
  <c r="X28" i="81"/>
  <c r="W28" i="81"/>
  <c r="BW27" i="81"/>
  <c r="BV27" i="81"/>
  <c r="BU27" i="81"/>
  <c r="BU26" i="81" s="1"/>
  <c r="AX27" i="81"/>
  <c r="AW27" i="81"/>
  <c r="AV27" i="81"/>
  <c r="Y27" i="81"/>
  <c r="X27" i="81"/>
  <c r="W27" i="81"/>
  <c r="BS26" i="81"/>
  <c r="BS25" i="81" s="1"/>
  <c r="BR26" i="81"/>
  <c r="BQ26" i="81"/>
  <c r="BP26" i="81"/>
  <c r="BN26" i="81"/>
  <c r="BN25" i="81" s="1"/>
  <c r="BM26" i="81"/>
  <c r="BL26" i="81"/>
  <c r="BL25" i="81" s="1"/>
  <c r="BK26" i="81"/>
  <c r="BI26" i="81"/>
  <c r="BI25" i="81" s="1"/>
  <c r="BH26" i="81"/>
  <c r="BG26" i="81"/>
  <c r="BF26" i="81"/>
  <c r="BD26" i="81"/>
  <c r="BD25" i="81" s="1"/>
  <c r="BC26" i="81"/>
  <c r="BB26" i="81"/>
  <c r="BA26" i="81"/>
  <c r="AT26" i="81"/>
  <c r="AT25" i="81" s="1"/>
  <c r="AS26" i="81"/>
  <c r="AR26" i="81"/>
  <c r="AR25" i="81" s="1"/>
  <c r="AQ26" i="81"/>
  <c r="AO26" i="81"/>
  <c r="AO25" i="81" s="1"/>
  <c r="AN26" i="81"/>
  <c r="AM26" i="81"/>
  <c r="AL26" i="81"/>
  <c r="AJ26" i="81"/>
  <c r="AJ25" i="81" s="1"/>
  <c r="AI26" i="81"/>
  <c r="AH26" i="81"/>
  <c r="AG26" i="81"/>
  <c r="AE26" i="81"/>
  <c r="AE25" i="81" s="1"/>
  <c r="AD26" i="81"/>
  <c r="AC26" i="81"/>
  <c r="AB26" i="81"/>
  <c r="U26" i="81"/>
  <c r="U25" i="81" s="1"/>
  <c r="T26" i="81"/>
  <c r="S26" i="81"/>
  <c r="R26" i="81"/>
  <c r="P26" i="81"/>
  <c r="P25" i="81" s="1"/>
  <c r="O26" i="81"/>
  <c r="N26" i="81"/>
  <c r="N25" i="81" s="1"/>
  <c r="M26" i="81"/>
  <c r="K26" i="81"/>
  <c r="K25" i="81" s="1"/>
  <c r="J26" i="81"/>
  <c r="I26" i="81"/>
  <c r="I25" i="81" s="1"/>
  <c r="H26" i="81"/>
  <c r="E26" i="81"/>
  <c r="D26" i="81"/>
  <c r="C26" i="81"/>
  <c r="BB25" i="81"/>
  <c r="BX23" i="81"/>
  <c r="BW23" i="81"/>
  <c r="BV23" i="81"/>
  <c r="BU23" i="81"/>
  <c r="AY23" i="81"/>
  <c r="AX23" i="81"/>
  <c r="AW23" i="81"/>
  <c r="AV23" i="81"/>
  <c r="Z23" i="81"/>
  <c r="Y23" i="81"/>
  <c r="X23" i="81"/>
  <c r="W23" i="81"/>
  <c r="BX22" i="81"/>
  <c r="BW22" i="81"/>
  <c r="BV22" i="81"/>
  <c r="BU22" i="81"/>
  <c r="AX22" i="81"/>
  <c r="AW22" i="81"/>
  <c r="AV22" i="81"/>
  <c r="Z22" i="81"/>
  <c r="Y22" i="81"/>
  <c r="X22" i="81"/>
  <c r="W22" i="81"/>
  <c r="BX21" i="81"/>
  <c r="BW21" i="81"/>
  <c r="BV21" i="81"/>
  <c r="BU21" i="81"/>
  <c r="AY21" i="81"/>
  <c r="AX21" i="81"/>
  <c r="AW21" i="81"/>
  <c r="AV21" i="81"/>
  <c r="Z21" i="81"/>
  <c r="Y21" i="81"/>
  <c r="X21" i="81"/>
  <c r="W21" i="81"/>
  <c r="BX20" i="81"/>
  <c r="BW20" i="81"/>
  <c r="BV20" i="81"/>
  <c r="BU20" i="81"/>
  <c r="AY20" i="81"/>
  <c r="AY19" i="81" s="1"/>
  <c r="AX20" i="81"/>
  <c r="AW20" i="81"/>
  <c r="AW19" i="81" s="1"/>
  <c r="AV20" i="81"/>
  <c r="Z20" i="81"/>
  <c r="Y20" i="81"/>
  <c r="Y19" i="81" s="1"/>
  <c r="X20" i="81"/>
  <c r="X19" i="81" s="1"/>
  <c r="W20" i="81"/>
  <c r="BS19" i="81"/>
  <c r="BR19" i="81"/>
  <c r="BQ19" i="81"/>
  <c r="BP19" i="81"/>
  <c r="BN19" i="81"/>
  <c r="BM19" i="81"/>
  <c r="BL19" i="81"/>
  <c r="BK19" i="81"/>
  <c r="BI19" i="81"/>
  <c r="BH19" i="81"/>
  <c r="BG19" i="81"/>
  <c r="BF19" i="81"/>
  <c r="BD19" i="81"/>
  <c r="BC19" i="81"/>
  <c r="BB19" i="81"/>
  <c r="BA19" i="81"/>
  <c r="AT19" i="81"/>
  <c r="AS19" i="81"/>
  <c r="AR19" i="81"/>
  <c r="AQ19" i="81"/>
  <c r="AO19" i="81"/>
  <c r="AN19" i="81"/>
  <c r="AM19" i="81"/>
  <c r="AL19" i="81"/>
  <c r="AJ19" i="81"/>
  <c r="AI19" i="81"/>
  <c r="AH19" i="81"/>
  <c r="AG19" i="81"/>
  <c r="AE19" i="81"/>
  <c r="AD19" i="81"/>
  <c r="AC19" i="81"/>
  <c r="AB19" i="81"/>
  <c r="U19" i="81"/>
  <c r="T19" i="81"/>
  <c r="S19" i="81"/>
  <c r="R19" i="81"/>
  <c r="P19" i="81"/>
  <c r="O19" i="81"/>
  <c r="N19" i="81"/>
  <c r="M19" i="81"/>
  <c r="K19" i="81"/>
  <c r="J19" i="81"/>
  <c r="I19" i="81"/>
  <c r="H19" i="81"/>
  <c r="F19" i="81"/>
  <c r="E19" i="81"/>
  <c r="D19" i="81"/>
  <c r="C19" i="81"/>
  <c r="BX18" i="81"/>
  <c r="BW18" i="81"/>
  <c r="BV18" i="81"/>
  <c r="BU18" i="81"/>
  <c r="AY18" i="81"/>
  <c r="AX18" i="81"/>
  <c r="AW18" i="81"/>
  <c r="AV18" i="81"/>
  <c r="Z18" i="81"/>
  <c r="Y18" i="81"/>
  <c r="X18" i="81"/>
  <c r="W18" i="81"/>
  <c r="BX17" i="81"/>
  <c r="BW17" i="81"/>
  <c r="BV17" i="81"/>
  <c r="BU17" i="81"/>
  <c r="AY17" i="81"/>
  <c r="AX17" i="81"/>
  <c r="AW17" i="81"/>
  <c r="AV17" i="81"/>
  <c r="Z17" i="81"/>
  <c r="Y17" i="81"/>
  <c r="X17" i="81"/>
  <c r="W17" i="81"/>
  <c r="BX16" i="81"/>
  <c r="BW16" i="81"/>
  <c r="BV16" i="81"/>
  <c r="BV15" i="81" s="1"/>
  <c r="BU16" i="81"/>
  <c r="AY16" i="81"/>
  <c r="AX16" i="81"/>
  <c r="AX15" i="81" s="1"/>
  <c r="AW16" i="81"/>
  <c r="AV16" i="81"/>
  <c r="AV15" i="81" s="1"/>
  <c r="Z16" i="81"/>
  <c r="Y16" i="81"/>
  <c r="X16" i="81"/>
  <c r="X15" i="81" s="1"/>
  <c r="W16" i="81"/>
  <c r="BW15" i="81"/>
  <c r="BS15" i="81"/>
  <c r="BR15" i="81"/>
  <c r="BQ15" i="81"/>
  <c r="BP15" i="81"/>
  <c r="BN15" i="81"/>
  <c r="BM15" i="81"/>
  <c r="BL15" i="81"/>
  <c r="BK15" i="81"/>
  <c r="BI15" i="81"/>
  <c r="BH15" i="81"/>
  <c r="BG15" i="81"/>
  <c r="BF15" i="81"/>
  <c r="BD15" i="81"/>
  <c r="BC15" i="81"/>
  <c r="BB15" i="81"/>
  <c r="BA15" i="81"/>
  <c r="AW15" i="81"/>
  <c r="AT15" i="81"/>
  <c r="AS15" i="81"/>
  <c r="AR15" i="81"/>
  <c r="AQ15" i="81"/>
  <c r="AO15" i="81"/>
  <c r="AN15" i="81"/>
  <c r="AM15" i="81"/>
  <c r="AL15" i="81"/>
  <c r="AJ15" i="81"/>
  <c r="AI15" i="81"/>
  <c r="AH15" i="81"/>
  <c r="AG15" i="81"/>
  <c r="AE15" i="81"/>
  <c r="AD15" i="81"/>
  <c r="AC15" i="81"/>
  <c r="AB15" i="81"/>
  <c r="U15" i="81"/>
  <c r="T15" i="81"/>
  <c r="S15" i="81"/>
  <c r="R15" i="81"/>
  <c r="P15" i="81"/>
  <c r="O15" i="81"/>
  <c r="N15" i="81"/>
  <c r="M15" i="81"/>
  <c r="K15" i="81"/>
  <c r="J15" i="81"/>
  <c r="I15" i="81"/>
  <c r="H15" i="81"/>
  <c r="F15" i="81"/>
  <c r="E15" i="81"/>
  <c r="D15" i="81"/>
  <c r="C15" i="81"/>
  <c r="BX14" i="81"/>
  <c r="BW14" i="81"/>
  <c r="BV14" i="81"/>
  <c r="BU14" i="81"/>
  <c r="AY14" i="81"/>
  <c r="AX14" i="81"/>
  <c r="AW14" i="81"/>
  <c r="AV14" i="81"/>
  <c r="Z14" i="81"/>
  <c r="Y14" i="81"/>
  <c r="X14" i="81"/>
  <c r="W14" i="81"/>
  <c r="BX13" i="81"/>
  <c r="BW13" i="81"/>
  <c r="BW12" i="81" s="1"/>
  <c r="BV13" i="81"/>
  <c r="BU13" i="81"/>
  <c r="AY13" i="81"/>
  <c r="AY12" i="81" s="1"/>
  <c r="AX13" i="81"/>
  <c r="AW13" i="81"/>
  <c r="AW12" i="81" s="1"/>
  <c r="AV13" i="81"/>
  <c r="Z13" i="81"/>
  <c r="Y13" i="81"/>
  <c r="Y12" i="81" s="1"/>
  <c r="X13" i="81"/>
  <c r="W13" i="81"/>
  <c r="BS12" i="81"/>
  <c r="BR12" i="81"/>
  <c r="BQ12" i="81"/>
  <c r="BP12" i="81"/>
  <c r="BN12" i="81"/>
  <c r="BM12" i="81"/>
  <c r="BL12" i="81"/>
  <c r="BK12" i="81"/>
  <c r="BI12" i="81"/>
  <c r="BH12" i="81"/>
  <c r="BG12" i="81"/>
  <c r="BF12" i="81"/>
  <c r="BD12" i="81"/>
  <c r="BC12" i="81"/>
  <c r="BB12" i="81"/>
  <c r="BA12" i="81"/>
  <c r="AT12" i="81"/>
  <c r="AS12" i="81"/>
  <c r="AR12" i="81"/>
  <c r="AQ12" i="81"/>
  <c r="AO12" i="81"/>
  <c r="AN12" i="81"/>
  <c r="AM12" i="81"/>
  <c r="AM11" i="81" s="1"/>
  <c r="AL12" i="81"/>
  <c r="AJ12" i="81"/>
  <c r="AI12" i="81"/>
  <c r="AH12" i="81"/>
  <c r="AG12" i="81"/>
  <c r="AE12" i="81"/>
  <c r="AD12" i="81"/>
  <c r="AC12" i="81"/>
  <c r="AB12" i="81"/>
  <c r="U12" i="81"/>
  <c r="T12" i="81"/>
  <c r="S12" i="81"/>
  <c r="R12" i="81"/>
  <c r="P12" i="81"/>
  <c r="O12" i="81"/>
  <c r="N12" i="81"/>
  <c r="M12" i="81"/>
  <c r="K12" i="81"/>
  <c r="J12" i="81"/>
  <c r="J11" i="81" s="1"/>
  <c r="I12" i="81"/>
  <c r="I11" i="81" s="1"/>
  <c r="H12" i="81"/>
  <c r="F12" i="81"/>
  <c r="E12" i="81"/>
  <c r="D12" i="81"/>
  <c r="C12" i="81"/>
  <c r="BX15" i="81" l="1"/>
  <c r="Z12" i="81"/>
  <c r="X12" i="81"/>
  <c r="AY15" i="81"/>
  <c r="G25" i="81"/>
  <c r="G48" i="81" s="1"/>
  <c r="BD11" i="81"/>
  <c r="BD48" i="81" s="1"/>
  <c r="BX12" i="81"/>
  <c r="BF11" i="81"/>
  <c r="W12" i="81"/>
  <c r="W19" i="81"/>
  <c r="Z19" i="81"/>
  <c r="K11" i="81"/>
  <c r="K48" i="81" s="1"/>
  <c r="W15" i="81"/>
  <c r="BU15" i="81"/>
  <c r="Y26" i="81"/>
  <c r="BS11" i="81"/>
  <c r="AX12" i="81"/>
  <c r="Y15" i="81"/>
  <c r="Y11" i="81" s="1"/>
  <c r="AX19" i="81"/>
  <c r="AA37" i="81"/>
  <c r="AV12" i="81"/>
  <c r="AV19" i="81"/>
  <c r="H11" i="81"/>
  <c r="AA42" i="81"/>
  <c r="AA25" i="81" s="1"/>
  <c r="AA48" i="81" s="1"/>
  <c r="X26" i="81"/>
  <c r="BT25" i="81"/>
  <c r="BT48" i="81" s="1"/>
  <c r="AO11" i="81"/>
  <c r="BH11" i="81"/>
  <c r="BG11" i="81"/>
  <c r="BV12" i="81"/>
  <c r="P11" i="81"/>
  <c r="N11" i="81"/>
  <c r="O11" i="81"/>
  <c r="AH11" i="81"/>
  <c r="C11" i="81"/>
  <c r="S11" i="81"/>
  <c r="T11" i="81"/>
  <c r="AJ11" i="81"/>
  <c r="BX19" i="81"/>
  <c r="Z15" i="81"/>
  <c r="R11" i="81"/>
  <c r="D11" i="81"/>
  <c r="BN11" i="81"/>
  <c r="E11" i="81"/>
  <c r="F11" i="81"/>
  <c r="F48" i="81" s="1"/>
  <c r="U11" i="81"/>
  <c r="U48" i="81" s="1"/>
  <c r="BB11" i="81"/>
  <c r="BQ11" i="81"/>
  <c r="BC11" i="81"/>
  <c r="BR11" i="81"/>
  <c r="BU12" i="81"/>
  <c r="W26" i="81"/>
  <c r="BU42" i="81"/>
  <c r="AT11" i="81"/>
  <c r="AT48" i="81" s="1"/>
  <c r="BP11" i="81"/>
  <c r="AR11" i="81"/>
  <c r="AR48" i="81" s="1"/>
  <c r="P48" i="81"/>
  <c r="AV26" i="81"/>
  <c r="AX26" i="81"/>
  <c r="AV42" i="81"/>
  <c r="AC11" i="81"/>
  <c r="AE11" i="81"/>
  <c r="AE48" i="81" s="1"/>
  <c r="BL11" i="81"/>
  <c r="BL48" i="81" s="1"/>
  <c r="AW26" i="81"/>
  <c r="BI11" i="81"/>
  <c r="BI48" i="81" s="1"/>
  <c r="BM11" i="81"/>
  <c r="M11" i="81"/>
  <c r="BV26" i="81"/>
  <c r="BV25" i="81" s="1"/>
  <c r="Q25" i="81"/>
  <c r="Q48" i="81" s="1"/>
  <c r="AC25" i="81"/>
  <c r="AI25" i="81"/>
  <c r="BM25" i="81"/>
  <c r="BQ25" i="81"/>
  <c r="BA11" i="81"/>
  <c r="BK11" i="81"/>
  <c r="BU19" i="81"/>
  <c r="BU11" i="81" s="1"/>
  <c r="BY25" i="81"/>
  <c r="BY48" i="81" s="1"/>
  <c r="BW19" i="81"/>
  <c r="BW11" i="81" s="1"/>
  <c r="AD11" i="81"/>
  <c r="AI11" i="81"/>
  <c r="AN11" i="81"/>
  <c r="AS11" i="81"/>
  <c r="D25" i="81"/>
  <c r="AH25" i="81"/>
  <c r="O25" i="81"/>
  <c r="AB11" i="81"/>
  <c r="AG11" i="81"/>
  <c r="AL11" i="81"/>
  <c r="AQ11" i="81"/>
  <c r="AS25" i="81"/>
  <c r="I48" i="81"/>
  <c r="N48" i="81"/>
  <c r="BB48" i="81"/>
  <c r="W11" i="81"/>
  <c r="BV19" i="81"/>
  <c r="BV11" i="81" s="1"/>
  <c r="BC25" i="81"/>
  <c r="BA25" i="81"/>
  <c r="AV29" i="81"/>
  <c r="W29" i="81"/>
  <c r="BU29" i="81"/>
  <c r="M25" i="81"/>
  <c r="M48" i="81" s="1"/>
  <c r="AU25" i="81"/>
  <c r="AU48" i="81" s="1"/>
  <c r="AX29" i="81"/>
  <c r="Y29" i="81"/>
  <c r="Y25" i="81" s="1"/>
  <c r="BW29" i="81"/>
  <c r="BE25" i="81"/>
  <c r="BE48" i="81" s="1"/>
  <c r="BR25" i="81"/>
  <c r="W37" i="81"/>
  <c r="BO25" i="81"/>
  <c r="BO48" i="81" s="1"/>
  <c r="BX11" i="81"/>
  <c r="BX48" i="81" s="1"/>
  <c r="Z11" i="81"/>
  <c r="Z48" i="81" s="1"/>
  <c r="AY11" i="81"/>
  <c r="AY48" i="81" s="1"/>
  <c r="R25" i="81"/>
  <c r="R48" i="81" s="1"/>
  <c r="AG25" i="81"/>
  <c r="W42" i="81"/>
  <c r="AZ42" i="81"/>
  <c r="AZ25" i="81" s="1"/>
  <c r="AZ48" i="81" s="1"/>
  <c r="AW11" i="81"/>
  <c r="AD25" i="81"/>
  <c r="AX11" i="81"/>
  <c r="E25" i="81"/>
  <c r="E48" i="81" s="1"/>
  <c r="AB25" i="81"/>
  <c r="AQ25" i="81"/>
  <c r="BN48" i="81"/>
  <c r="BS48" i="81"/>
  <c r="AL25" i="81"/>
  <c r="BF25" i="81"/>
  <c r="BF48" i="81" s="1"/>
  <c r="BG25" i="81"/>
  <c r="BG48" i="81" s="1"/>
  <c r="AV32" i="81"/>
  <c r="C25" i="81"/>
  <c r="J25" i="81"/>
  <c r="J48" i="81" s="1"/>
  <c r="AF25" i="81"/>
  <c r="AF48" i="81" s="1"/>
  <c r="S25" i="81"/>
  <c r="X11" i="81"/>
  <c r="AW25" i="81"/>
  <c r="BW26" i="81"/>
  <c r="BW25" i="81" s="1"/>
  <c r="T25" i="81"/>
  <c r="X25" i="81"/>
  <c r="AO48" i="81"/>
  <c r="H25" i="81"/>
  <c r="H48" i="81" s="1"/>
  <c r="BK25" i="81"/>
  <c r="BK48" i="81" s="1"/>
  <c r="BP25" i="81"/>
  <c r="BP48" i="81" s="1"/>
  <c r="AN25" i="81"/>
  <c r="BH25" i="81"/>
  <c r="BH48" i="81" s="1"/>
  <c r="AM25" i="81"/>
  <c r="AM48" i="81" s="1"/>
  <c r="W32" i="81"/>
  <c r="L25" i="81"/>
  <c r="L48" i="81" s="1"/>
  <c r="BU37" i="81"/>
  <c r="AV37" i="81"/>
  <c r="AJ48" i="81"/>
  <c r="BM48" i="81" l="1"/>
  <c r="AV11" i="81"/>
  <c r="AQ48" i="81"/>
  <c r="BR48" i="81"/>
  <c r="AG48" i="81"/>
  <c r="D48" i="81"/>
  <c r="S48" i="81"/>
  <c r="T48" i="81"/>
  <c r="AX25" i="81"/>
  <c r="AX48" i="81" s="1"/>
  <c r="BC48" i="81"/>
  <c r="AN48" i="81"/>
  <c r="O48" i="81"/>
  <c r="AH48" i="81"/>
  <c r="BQ48" i="81"/>
  <c r="AC48" i="81"/>
  <c r="AS48" i="81"/>
  <c r="AD48" i="81"/>
  <c r="AL48" i="81"/>
  <c r="BV48" i="81"/>
  <c r="AI48" i="81"/>
  <c r="C48" i="81"/>
  <c r="W25" i="81"/>
  <c r="W48" i="81" s="1"/>
  <c r="AB48" i="81"/>
  <c r="BA48" i="81"/>
  <c r="BU25" i="81"/>
  <c r="BU48" i="81" s="1"/>
  <c r="BW48" i="81"/>
  <c r="AV25" i="81"/>
  <c r="AV48" i="81" s="1"/>
  <c r="Y48" i="81"/>
  <c r="AW48" i="81"/>
  <c r="X48" i="81"/>
  <c r="E53" i="68" l="1"/>
  <c r="E51" i="68"/>
  <c r="E52" i="68"/>
  <c r="E49" i="68"/>
  <c r="E45" i="68"/>
  <c r="E43" i="68"/>
  <c r="E39" i="68"/>
  <c r="E36" i="68"/>
  <c r="E24" i="68"/>
  <c r="E19" i="68"/>
  <c r="C29" i="68"/>
  <c r="D29" i="68"/>
  <c r="F29" i="68"/>
  <c r="BX8" i="81"/>
  <c r="BW8" i="81"/>
  <c r="BV8" i="81"/>
  <c r="BU8" i="81"/>
  <c r="AY8" i="81"/>
  <c r="AX8" i="81"/>
  <c r="AW8" i="81"/>
  <c r="AV8" i="81"/>
  <c r="Z8" i="81"/>
  <c r="Y8" i="81"/>
  <c r="X8" i="81"/>
  <c r="W8" i="81"/>
  <c r="BP7" i="60"/>
  <c r="BP5" i="60"/>
  <c r="BO5" i="60"/>
  <c r="BO7" i="60"/>
  <c r="BP10" i="60"/>
  <c r="BP37" i="60" s="1"/>
  <c r="BP21" i="60"/>
  <c r="BP20" i="60"/>
  <c r="BO20" i="60"/>
  <c r="BO21" i="60"/>
  <c r="BP11" i="60"/>
  <c r="BP38" i="60" s="1"/>
  <c r="FZ19" i="56"/>
  <c r="FY19" i="56"/>
  <c r="FX19" i="56"/>
  <c r="FW19" i="56"/>
  <c r="FV19" i="56"/>
  <c r="AL19" i="46"/>
  <c r="AL7" i="46"/>
  <c r="AL22" i="51" s="1"/>
  <c r="BP52" i="60"/>
  <c r="BP44" i="60"/>
  <c r="BO44" i="60"/>
  <c r="BP39" i="60"/>
  <c r="BO39" i="60"/>
  <c r="BO38" i="60"/>
  <c r="BO37" i="60"/>
  <c r="BP35" i="60"/>
  <c r="BO35" i="60"/>
  <c r="BP33" i="60"/>
  <c r="BO33" i="60"/>
  <c r="F25" i="67"/>
  <c r="E25" i="67"/>
  <c r="D25" i="67"/>
  <c r="E24" i="67"/>
  <c r="D24" i="67"/>
  <c r="F24" i="67"/>
  <c r="D16" i="67"/>
  <c r="E16" i="67" s="1"/>
  <c r="BN21" i="60"/>
  <c r="BN34" i="60" s="1"/>
  <c r="BN20" i="60"/>
  <c r="BN22" i="60" s="1"/>
  <c r="BN26" i="60" s="1"/>
  <c r="BL21" i="60"/>
  <c r="BL20" i="60"/>
  <c r="BL22" i="60" s="1"/>
  <c r="BL26" i="60" s="1"/>
  <c r="BN12" i="60"/>
  <c r="BN39" i="60" s="1"/>
  <c r="BN11" i="60"/>
  <c r="BN38" i="60" s="1"/>
  <c r="BN10" i="60"/>
  <c r="BN37" i="60" s="1"/>
  <c r="BL11" i="60"/>
  <c r="BL10" i="60"/>
  <c r="BL37" i="60" s="1"/>
  <c r="BN9" i="60"/>
  <c r="BL9" i="60"/>
  <c r="BL52" i="60"/>
  <c r="BN52" i="60"/>
  <c r="BN44" i="60"/>
  <c r="BM44" i="60"/>
  <c r="BL44" i="60"/>
  <c r="BK44" i="60"/>
  <c r="BM39" i="60"/>
  <c r="BL39" i="60"/>
  <c r="BK39" i="60"/>
  <c r="BM38" i="60"/>
  <c r="BK38" i="60"/>
  <c r="BM37" i="60"/>
  <c r="BN35" i="60"/>
  <c r="BM35" i="60"/>
  <c r="BL35" i="60"/>
  <c r="BK35" i="60"/>
  <c r="BN33" i="60"/>
  <c r="BM33" i="60"/>
  <c r="BL33" i="60"/>
  <c r="BK33" i="60"/>
  <c r="BM21" i="60"/>
  <c r="BM34" i="60" s="1"/>
  <c r="BK21" i="60"/>
  <c r="BK34" i="60"/>
  <c r="BM20" i="60"/>
  <c r="BK20" i="60"/>
  <c r="BK32" i="60" s="1"/>
  <c r="BM9" i="60"/>
  <c r="BK9" i="60"/>
  <c r="AK41" i="55"/>
  <c r="AK54" i="55"/>
  <c r="AK53" i="55"/>
  <c r="AK52" i="55"/>
  <c r="AK51" i="55"/>
  <c r="AK50" i="55"/>
  <c r="AK46" i="55"/>
  <c r="AK45" i="55"/>
  <c r="AK44" i="55"/>
  <c r="AK43" i="55"/>
  <c r="AK42" i="55"/>
  <c r="AK40" i="55"/>
  <c r="AK39" i="55"/>
  <c r="AK38" i="55"/>
  <c r="AK37" i="55"/>
  <c r="AK36" i="55"/>
  <c r="AK35" i="55"/>
  <c r="AK34" i="55"/>
  <c r="AK33" i="55"/>
  <c r="AK32" i="55"/>
  <c r="AK31" i="55"/>
  <c r="AK30" i="55"/>
  <c r="AK29" i="55"/>
  <c r="AK28" i="55"/>
  <c r="AK27" i="55"/>
  <c r="AK26" i="55"/>
  <c r="AK25" i="55"/>
  <c r="AK24" i="55"/>
  <c r="AK23" i="55"/>
  <c r="AK22" i="55"/>
  <c r="AK21" i="55"/>
  <c r="AK20" i="55"/>
  <c r="AK19" i="55"/>
  <c r="AK18" i="55"/>
  <c r="AK17" i="55"/>
  <c r="AK16" i="55"/>
  <c r="AK15" i="55"/>
  <c r="AK14" i="55"/>
  <c r="AK13" i="55"/>
  <c r="AK12" i="55"/>
  <c r="AK11" i="55"/>
  <c r="AK10" i="55"/>
  <c r="AK9" i="55"/>
  <c r="AK8" i="55"/>
  <c r="AK7" i="55"/>
  <c r="AK6" i="55"/>
  <c r="AH17" i="46"/>
  <c r="AH10" i="46"/>
  <c r="FT12" i="56"/>
  <c r="FU18" i="56"/>
  <c r="FT18" i="56"/>
  <c r="FS18" i="56"/>
  <c r="FR18" i="56"/>
  <c r="FR17" i="56"/>
  <c r="FU16" i="56"/>
  <c r="FS16" i="56"/>
  <c r="FU15" i="56"/>
  <c r="FU19" i="56" s="1"/>
  <c r="FS15" i="56"/>
  <c r="FS14" i="56"/>
  <c r="FR14" i="56"/>
  <c r="FS13" i="56"/>
  <c r="FS12" i="56"/>
  <c r="FR12" i="56"/>
  <c r="FT11" i="56"/>
  <c r="FS11" i="56"/>
  <c r="FR11" i="56"/>
  <c r="FT10" i="56"/>
  <c r="FS10" i="56"/>
  <c r="FR10" i="56"/>
  <c r="FR19" i="56" s="1"/>
  <c r="FT9" i="56"/>
  <c r="FS9" i="56"/>
  <c r="FR9" i="56"/>
  <c r="FT8" i="56"/>
  <c r="FS8" i="56"/>
  <c r="FR8" i="56"/>
  <c r="FQ18" i="56"/>
  <c r="FQ17" i="56"/>
  <c r="FQ16" i="56"/>
  <c r="FQ15" i="56"/>
  <c r="FQ19" i="56" s="1"/>
  <c r="FQ14" i="56"/>
  <c r="FQ13" i="56"/>
  <c r="FQ12" i="56"/>
  <c r="FQ11" i="56"/>
  <c r="FQ10" i="56"/>
  <c r="FQ9" i="56"/>
  <c r="FQ8" i="56"/>
  <c r="FL19" i="56"/>
  <c r="FP19" i="56"/>
  <c r="FO19" i="56"/>
  <c r="FN19" i="56"/>
  <c r="FM19" i="56"/>
  <c r="BJ11" i="60"/>
  <c r="BJ38" i="60" s="1"/>
  <c r="BJ52" i="60"/>
  <c r="BJ12" i="60"/>
  <c r="BJ39" i="60" s="1"/>
  <c r="BJ10" i="60"/>
  <c r="BJ37" i="60" s="1"/>
  <c r="BJ7" i="60"/>
  <c r="BJ21" i="60"/>
  <c r="BJ20" i="60"/>
  <c r="BJ22" i="60" s="1"/>
  <c r="BJ26" i="60" s="1"/>
  <c r="BJ5" i="60"/>
  <c r="BJ32" i="60" s="1"/>
  <c r="BI20" i="60"/>
  <c r="BI21" i="60"/>
  <c r="BI22" i="60" s="1"/>
  <c r="BI26" i="60" s="1"/>
  <c r="BI5" i="60"/>
  <c r="BI7" i="60"/>
  <c r="FK19" i="56"/>
  <c r="FJ19" i="56"/>
  <c r="FI19" i="56"/>
  <c r="FH19" i="56"/>
  <c r="FG19" i="56"/>
  <c r="BH12" i="60"/>
  <c r="BH39" i="60" s="1"/>
  <c r="BH11" i="60"/>
  <c r="BH38" i="60" s="1"/>
  <c r="BH10" i="60"/>
  <c r="BH37" i="60" s="1"/>
  <c r="BH7" i="60"/>
  <c r="BH34" i="60" s="1"/>
  <c r="BH5" i="60"/>
  <c r="BH21" i="60"/>
  <c r="BH20" i="60"/>
  <c r="BH22" i="60" s="1"/>
  <c r="BH26" i="60" s="1"/>
  <c r="BH52" i="60"/>
  <c r="BG20" i="60"/>
  <c r="BG22" i="60" s="1"/>
  <c r="BG26" i="60" s="1"/>
  <c r="BG21" i="60"/>
  <c r="BG7" i="60"/>
  <c r="BG5" i="60"/>
  <c r="FF19" i="56"/>
  <c r="FE19" i="56"/>
  <c r="FD19" i="56"/>
  <c r="FC19" i="56"/>
  <c r="FB19" i="56"/>
  <c r="BF11" i="60"/>
  <c r="BF38" i="60" s="1"/>
  <c r="BF10" i="60"/>
  <c r="BF37" i="60" s="1"/>
  <c r="BF7" i="60"/>
  <c r="BF34" i="60" s="1"/>
  <c r="BF5" i="60"/>
  <c r="BF52" i="60"/>
  <c r="BF21" i="60"/>
  <c r="BF20" i="60"/>
  <c r="BF22" i="60" s="1"/>
  <c r="BF26" i="60" s="1"/>
  <c r="BE20" i="60"/>
  <c r="BE21" i="60"/>
  <c r="BE7" i="60"/>
  <c r="BE34" i="60" s="1"/>
  <c r="BE5" i="60"/>
  <c r="EW19" i="56"/>
  <c r="EX19" i="56"/>
  <c r="EY19" i="56"/>
  <c r="EZ19" i="56"/>
  <c r="FA19" i="56"/>
  <c r="ER16" i="56"/>
  <c r="ET18" i="56"/>
  <c r="ET16" i="56"/>
  <c r="ET15" i="56"/>
  <c r="ET14" i="56"/>
  <c r="ET13" i="56"/>
  <c r="ET12" i="56"/>
  <c r="AK19" i="46"/>
  <c r="AJ19" i="46"/>
  <c r="AI19" i="46"/>
  <c r="AH19" i="46"/>
  <c r="AG19" i="46"/>
  <c r="AG7" i="46"/>
  <c r="AG22" i="51" s="1"/>
  <c r="AK7" i="46"/>
  <c r="AK22" i="51" s="1"/>
  <c r="AJ7" i="46"/>
  <c r="AI7" i="46"/>
  <c r="AI22" i="51" s="1"/>
  <c r="BJ44" i="60"/>
  <c r="BI44" i="60"/>
  <c r="BH44" i="60"/>
  <c r="BG44" i="60"/>
  <c r="BF44" i="60"/>
  <c r="BE44" i="60"/>
  <c r="BI39" i="60"/>
  <c r="BG39" i="60"/>
  <c r="BF39" i="60"/>
  <c r="BE39" i="60"/>
  <c r="BI38" i="60"/>
  <c r="BG38" i="60"/>
  <c r="BE38" i="60"/>
  <c r="BI37" i="60"/>
  <c r="BG37" i="60"/>
  <c r="BE37" i="60"/>
  <c r="BJ35" i="60"/>
  <c r="BI35" i="60"/>
  <c r="BH35" i="60"/>
  <c r="BG35" i="60"/>
  <c r="BF35" i="60"/>
  <c r="BE35" i="60"/>
  <c r="BJ33" i="60"/>
  <c r="BI33" i="60"/>
  <c r="BH33" i="60"/>
  <c r="BG33" i="60"/>
  <c r="BF33" i="60"/>
  <c r="BE33" i="60"/>
  <c r="AZ47" i="60"/>
  <c r="AZ52" i="60" s="1"/>
  <c r="BD47" i="60"/>
  <c r="BB47" i="60"/>
  <c r="BD48" i="60"/>
  <c r="BB48" i="60"/>
  <c r="BB11" i="60"/>
  <c r="BB38" i="60" s="1"/>
  <c r="BB5" i="60"/>
  <c r="BA5" i="60"/>
  <c r="BB7" i="60"/>
  <c r="BA7" i="60"/>
  <c r="BD5" i="60"/>
  <c r="BD7" i="60"/>
  <c r="BD11" i="60"/>
  <c r="BD38" i="60" s="1"/>
  <c r="BC7" i="60"/>
  <c r="BC34" i="60" s="1"/>
  <c r="BC5" i="60"/>
  <c r="BC32" i="60" s="1"/>
  <c r="G30" i="62"/>
  <c r="F30" i="62"/>
  <c r="D30" i="62"/>
  <c r="E30" i="62"/>
  <c r="C30" i="62"/>
  <c r="DU12" i="56"/>
  <c r="BD12" i="60"/>
  <c r="BD39" i="60" s="1"/>
  <c r="BB12" i="60"/>
  <c r="BB39" i="60" s="1"/>
  <c r="BD10" i="60"/>
  <c r="BD37" i="60" s="1"/>
  <c r="BB10" i="60"/>
  <c r="BB37" i="60" s="1"/>
  <c r="BD20" i="60"/>
  <c r="BD21" i="60"/>
  <c r="BB20" i="60"/>
  <c r="BB21" i="60"/>
  <c r="BC20" i="60"/>
  <c r="BA20" i="60"/>
  <c r="BC21" i="60"/>
  <c r="BA21" i="60"/>
  <c r="EV18" i="56"/>
  <c r="EU18" i="56"/>
  <c r="ES18" i="56"/>
  <c r="ER18" i="56"/>
  <c r="ES17" i="56"/>
  <c r="ER17" i="56"/>
  <c r="EV16" i="56"/>
  <c r="EV15" i="56"/>
  <c r="EV19" i="56" s="1"/>
  <c r="ER15" i="56"/>
  <c r="ES14" i="56"/>
  <c r="ER14" i="56"/>
  <c r="ER13" i="56"/>
  <c r="ES12" i="56"/>
  <c r="ER12" i="56"/>
  <c r="EU11" i="56"/>
  <c r="ET11" i="56"/>
  <c r="ES11" i="56"/>
  <c r="ER11" i="56"/>
  <c r="EU10" i="56"/>
  <c r="ET10" i="56"/>
  <c r="ES10" i="56"/>
  <c r="ER10" i="56"/>
  <c r="EU9" i="56"/>
  <c r="ET9" i="56"/>
  <c r="ES9" i="56"/>
  <c r="ER9" i="56"/>
  <c r="EU8" i="56"/>
  <c r="ET8" i="56"/>
  <c r="ES8" i="56"/>
  <c r="ER8" i="56"/>
  <c r="AZ12" i="60"/>
  <c r="AZ39" i="60" s="1"/>
  <c r="AZ10" i="60"/>
  <c r="AZ37" i="60" s="1"/>
  <c r="AZ21" i="60"/>
  <c r="AZ20" i="60"/>
  <c r="AZ32" i="60" s="1"/>
  <c r="AY20" i="60"/>
  <c r="AY21" i="60"/>
  <c r="AD17" i="46"/>
  <c r="AD9" i="46"/>
  <c r="AX7" i="60"/>
  <c r="AX5" i="60"/>
  <c r="AW7" i="60"/>
  <c r="AW34" i="60" s="1"/>
  <c r="AW5" i="60"/>
  <c r="AW32" i="60" s="1"/>
  <c r="AX21" i="60"/>
  <c r="AX20" i="60"/>
  <c r="AX22" i="60" s="1"/>
  <c r="AX26" i="60" s="1"/>
  <c r="AX12" i="60"/>
  <c r="AX39" i="60" s="1"/>
  <c r="AX11" i="60"/>
  <c r="AX38" i="60" s="1"/>
  <c r="AW20" i="60"/>
  <c r="AW21" i="60"/>
  <c r="AC13" i="46"/>
  <c r="AC7" i="46" s="1"/>
  <c r="EG19" i="56"/>
  <c r="EF19" i="56"/>
  <c r="EE19" i="56"/>
  <c r="ED19" i="56"/>
  <c r="EC19" i="56"/>
  <c r="AV11" i="60"/>
  <c r="AV5" i="60"/>
  <c r="AV10" i="60"/>
  <c r="AV7" i="60"/>
  <c r="AU20" i="60"/>
  <c r="AV20" i="60" s="1"/>
  <c r="AU21" i="60"/>
  <c r="AV25" i="60"/>
  <c r="AV39" i="60"/>
  <c r="AV24" i="60"/>
  <c r="AV23" i="60"/>
  <c r="AU7" i="60"/>
  <c r="AU5" i="60"/>
  <c r="AB17" i="46"/>
  <c r="AB7" i="46" s="1"/>
  <c r="EB19" i="56"/>
  <c r="EA19" i="56"/>
  <c r="DZ19" i="56"/>
  <c r="DY19" i="56"/>
  <c r="DX19" i="56"/>
  <c r="AF19" i="46"/>
  <c r="AE19" i="46"/>
  <c r="AD19" i="46"/>
  <c r="AC19" i="46"/>
  <c r="AB19" i="46"/>
  <c r="AE7" i="46"/>
  <c r="AU44" i="60"/>
  <c r="AU39" i="60"/>
  <c r="AU38" i="60"/>
  <c r="AU37" i="60"/>
  <c r="AU35" i="60"/>
  <c r="AU33" i="60"/>
  <c r="AX52" i="60"/>
  <c r="AV52" i="60"/>
  <c r="BD44" i="60"/>
  <c r="BC44" i="60"/>
  <c r="BB44" i="60"/>
  <c r="BA44" i="60"/>
  <c r="AZ44" i="60"/>
  <c r="AY44" i="60"/>
  <c r="AX44" i="60"/>
  <c r="AW44" i="60"/>
  <c r="AV44" i="60"/>
  <c r="BC39" i="60"/>
  <c r="BA39" i="60"/>
  <c r="AW39" i="60"/>
  <c r="BC38" i="60"/>
  <c r="BA38" i="60"/>
  <c r="AY38" i="60"/>
  <c r="AW38" i="60"/>
  <c r="BC37" i="60"/>
  <c r="BA37" i="60"/>
  <c r="AY37" i="60"/>
  <c r="AW37" i="60"/>
  <c r="BD35" i="60"/>
  <c r="BC35" i="60"/>
  <c r="BB35" i="60"/>
  <c r="BA35" i="60"/>
  <c r="AZ35" i="60"/>
  <c r="AY35" i="60"/>
  <c r="AX35" i="60"/>
  <c r="AW35" i="60"/>
  <c r="AV35" i="60"/>
  <c r="BD33" i="60"/>
  <c r="BC33" i="60"/>
  <c r="BB33" i="60"/>
  <c r="BA33" i="60"/>
  <c r="AZ33" i="60"/>
  <c r="AY33" i="60"/>
  <c r="AX33" i="60"/>
  <c r="AW33" i="60"/>
  <c r="AV33" i="60"/>
  <c r="AY39" i="60"/>
  <c r="BC22" i="60"/>
  <c r="AZ38" i="60"/>
  <c r="AX37" i="60"/>
  <c r="AY34" i="60"/>
  <c r="AZ9" i="60"/>
  <c r="AT12" i="60"/>
  <c r="AR12" i="60"/>
  <c r="AT7" i="60"/>
  <c r="AT5" i="60"/>
  <c r="AR7" i="60"/>
  <c r="AR5" i="60"/>
  <c r="AS7" i="60"/>
  <c r="AS34" i="60" s="1"/>
  <c r="AS5" i="60"/>
  <c r="AQ7" i="60"/>
  <c r="AQ5" i="60"/>
  <c r="AT11" i="60"/>
  <c r="AR11" i="60"/>
  <c r="AT10" i="60"/>
  <c r="AR10" i="60"/>
  <c r="AS20" i="60"/>
  <c r="AS21" i="60"/>
  <c r="AQ20" i="60"/>
  <c r="AQ21" i="60"/>
  <c r="AR21" i="60"/>
  <c r="AT25" i="60"/>
  <c r="AT24" i="60"/>
  <c r="AT23" i="60"/>
  <c r="AR25" i="60"/>
  <c r="AR24" i="60"/>
  <c r="AR23" i="60"/>
  <c r="AA54" i="55"/>
  <c r="AA53" i="55"/>
  <c r="AA52" i="55"/>
  <c r="AA51" i="55"/>
  <c r="AA50" i="55"/>
  <c r="AA46" i="55"/>
  <c r="AA45" i="55"/>
  <c r="AA44" i="55"/>
  <c r="AA43" i="55"/>
  <c r="AA42" i="55"/>
  <c r="AA41" i="55"/>
  <c r="AA40" i="55"/>
  <c r="AA39" i="55"/>
  <c r="AA38" i="55"/>
  <c r="AA37" i="55"/>
  <c r="AA36" i="55"/>
  <c r="AA35" i="55"/>
  <c r="AA34" i="55"/>
  <c r="AA33" i="55"/>
  <c r="AA32" i="55"/>
  <c r="AA31" i="55"/>
  <c r="AA30" i="55"/>
  <c r="AA29" i="55"/>
  <c r="AA28" i="55"/>
  <c r="AA27" i="55"/>
  <c r="AA26" i="55"/>
  <c r="AA25" i="55"/>
  <c r="AA24" i="55"/>
  <c r="AA23" i="55"/>
  <c r="AA22" i="55"/>
  <c r="AA21" i="55"/>
  <c r="AA20" i="55"/>
  <c r="AA19" i="55"/>
  <c r="AA18" i="55"/>
  <c r="AA17" i="55"/>
  <c r="AA16" i="55"/>
  <c r="AA15" i="55"/>
  <c r="AA14" i="55"/>
  <c r="AA13" i="55"/>
  <c r="AA12" i="55"/>
  <c r="AA11" i="55"/>
  <c r="AA10" i="55"/>
  <c r="AA9" i="55"/>
  <c r="AA8" i="55"/>
  <c r="AA7" i="55"/>
  <c r="AA6" i="55"/>
  <c r="AA17" i="46"/>
  <c r="AA7" i="46" s="1"/>
  <c r="AA22" i="51" s="1"/>
  <c r="DR19" i="56"/>
  <c r="DQ19" i="56"/>
  <c r="DP19" i="56"/>
  <c r="DO19" i="56"/>
  <c r="DN19" i="56"/>
  <c r="DU14" i="56"/>
  <c r="DW18" i="56"/>
  <c r="DV18" i="56"/>
  <c r="DU18" i="56"/>
  <c r="DT18" i="56"/>
  <c r="DS18" i="56"/>
  <c r="DT17" i="56"/>
  <c r="DS17" i="56"/>
  <c r="DW16" i="56"/>
  <c r="DU16" i="56"/>
  <c r="DS16" i="56"/>
  <c r="DW15" i="56"/>
  <c r="DU15" i="56"/>
  <c r="DS15" i="56"/>
  <c r="DT14" i="56"/>
  <c r="DS14" i="56"/>
  <c r="DU13" i="56"/>
  <c r="DS13" i="56"/>
  <c r="DT12" i="56"/>
  <c r="DS12" i="56"/>
  <c r="DV11" i="56"/>
  <c r="DU11" i="56"/>
  <c r="DT11" i="56"/>
  <c r="DS11" i="56"/>
  <c r="DV10" i="56"/>
  <c r="DU10" i="56"/>
  <c r="DT10" i="56"/>
  <c r="DS10" i="56"/>
  <c r="DV9" i="56"/>
  <c r="DV19" i="56"/>
  <c r="DU9" i="56"/>
  <c r="DT9" i="56"/>
  <c r="DS9" i="56"/>
  <c r="DV8" i="56"/>
  <c r="DU8" i="56"/>
  <c r="DT8" i="56"/>
  <c r="DS8" i="56"/>
  <c r="H24" i="58"/>
  <c r="AP25" i="60"/>
  <c r="AP21" i="60"/>
  <c r="AP20" i="60"/>
  <c r="AO20" i="60"/>
  <c r="AO21" i="60"/>
  <c r="AO25" i="60"/>
  <c r="AP12" i="60"/>
  <c r="AP39" i="60" s="1"/>
  <c r="AP11" i="60"/>
  <c r="AP38" i="60" s="1"/>
  <c r="AP10" i="60"/>
  <c r="AP37" i="60" s="1"/>
  <c r="AP5" i="60"/>
  <c r="AP7" i="60"/>
  <c r="AO7" i="60"/>
  <c r="AO34" i="60" s="1"/>
  <c r="AO5" i="60"/>
  <c r="DI19" i="56"/>
  <c r="H22" i="58"/>
  <c r="I22" i="58"/>
  <c r="C22" i="58"/>
  <c r="AN12" i="60"/>
  <c r="AN39" i="60" s="1"/>
  <c r="AN10" i="60"/>
  <c r="AN37" i="60" s="1"/>
  <c r="AN7" i="60"/>
  <c r="AN5" i="60"/>
  <c r="AN21" i="60"/>
  <c r="AN20" i="60"/>
  <c r="AM20" i="60"/>
  <c r="AM22" i="60" s="1"/>
  <c r="AM26" i="60" s="1"/>
  <c r="AM21" i="60"/>
  <c r="AM7" i="60"/>
  <c r="AM34" i="60" s="1"/>
  <c r="AM5" i="60"/>
  <c r="X17" i="46"/>
  <c r="X9" i="46"/>
  <c r="X10" i="46"/>
  <c r="DD19" i="56"/>
  <c r="DE19" i="56"/>
  <c r="DF19" i="56"/>
  <c r="DG19" i="56"/>
  <c r="DH19" i="56"/>
  <c r="CS19" i="56"/>
  <c r="CR19" i="56"/>
  <c r="CQ19" i="56"/>
  <c r="CP19" i="56"/>
  <c r="CO19" i="56"/>
  <c r="CN19" i="56"/>
  <c r="CM19" i="56"/>
  <c r="CL19" i="56"/>
  <c r="CK19" i="56"/>
  <c r="CJ19" i="56"/>
  <c r="CI19" i="56"/>
  <c r="CH19" i="56"/>
  <c r="CG19" i="56"/>
  <c r="CF19" i="56"/>
  <c r="CE19" i="56"/>
  <c r="CD19" i="56"/>
  <c r="CC19" i="56"/>
  <c r="CB19" i="56"/>
  <c r="CA19" i="56"/>
  <c r="BZ19" i="56"/>
  <c r="CX18" i="56"/>
  <c r="CW18" i="56"/>
  <c r="CV18" i="56"/>
  <c r="CU18" i="56"/>
  <c r="CT18" i="56"/>
  <c r="CU17" i="56"/>
  <c r="CT17" i="56"/>
  <c r="CX16" i="56"/>
  <c r="CX19" i="56" s="1"/>
  <c r="CV16" i="56"/>
  <c r="CT16" i="56"/>
  <c r="CX15" i="56"/>
  <c r="CV15" i="56"/>
  <c r="CT15" i="56"/>
  <c r="CV14" i="56"/>
  <c r="CU14" i="56"/>
  <c r="CT14" i="56"/>
  <c r="CV13" i="56"/>
  <c r="CT13" i="56"/>
  <c r="CV12" i="56"/>
  <c r="CU12" i="56"/>
  <c r="CT12" i="56"/>
  <c r="CW11" i="56"/>
  <c r="CV11" i="56"/>
  <c r="CU11" i="56"/>
  <c r="CT11" i="56"/>
  <c r="CW10" i="56"/>
  <c r="CV10" i="56"/>
  <c r="CU10" i="56"/>
  <c r="CT10" i="56"/>
  <c r="CW9" i="56"/>
  <c r="CV9" i="56"/>
  <c r="CV19" i="56" s="1"/>
  <c r="CU9" i="56"/>
  <c r="CT9" i="56"/>
  <c r="CW8" i="56"/>
  <c r="CV8" i="56"/>
  <c r="CU8" i="56"/>
  <c r="CT8" i="56"/>
  <c r="AL11" i="60"/>
  <c r="AL38" i="60" s="1"/>
  <c r="AL5" i="60"/>
  <c r="AL21" i="60"/>
  <c r="AL20" i="60"/>
  <c r="AL22" i="60" s="1"/>
  <c r="AL26" i="60" s="1"/>
  <c r="AL7" i="60"/>
  <c r="AL34" i="60" s="1"/>
  <c r="AK21" i="60"/>
  <c r="AK22" i="60"/>
  <c r="AK26" i="60" s="1"/>
  <c r="AK7" i="60"/>
  <c r="AK20" i="60"/>
  <c r="AK5" i="60"/>
  <c r="AK32" i="60" s="1"/>
  <c r="W10" i="46"/>
  <c r="W11" i="46"/>
  <c r="DM19" i="56"/>
  <c r="DL19" i="56"/>
  <c r="DK19" i="56"/>
  <c r="DJ19" i="56"/>
  <c r="AA19" i="46"/>
  <c r="Z19" i="46"/>
  <c r="Y19" i="46"/>
  <c r="X19" i="46"/>
  <c r="W19" i="46"/>
  <c r="Z7" i="46"/>
  <c r="Y7" i="46"/>
  <c r="AT52" i="60"/>
  <c r="AP52" i="60"/>
  <c r="AN52" i="60"/>
  <c r="AL52" i="60"/>
  <c r="AR52" i="60"/>
  <c r="AT44" i="60"/>
  <c r="AS44" i="60"/>
  <c r="AR44" i="60"/>
  <c r="AQ44" i="60"/>
  <c r="AP44" i="60"/>
  <c r="AO44" i="60"/>
  <c r="AN44" i="60"/>
  <c r="AM44" i="60"/>
  <c r="AL44" i="60"/>
  <c r="AK44" i="60"/>
  <c r="AS39" i="60"/>
  <c r="AQ39" i="60"/>
  <c r="AO39" i="60"/>
  <c r="AM39" i="60"/>
  <c r="AL39" i="60"/>
  <c r="AK39" i="60"/>
  <c r="AS38" i="60"/>
  <c r="AQ38" i="60"/>
  <c r="AO38" i="60"/>
  <c r="AN38" i="60"/>
  <c r="AM38" i="60"/>
  <c r="AK38" i="60"/>
  <c r="AS37" i="60"/>
  <c r="AQ37" i="60"/>
  <c r="AO37" i="60"/>
  <c r="AM37" i="60"/>
  <c r="AL37" i="60"/>
  <c r="AK37" i="60"/>
  <c r="AT35" i="60"/>
  <c r="AS35" i="60"/>
  <c r="AR35" i="60"/>
  <c r="AQ35" i="60"/>
  <c r="AP35" i="60"/>
  <c r="AO35" i="60"/>
  <c r="AN35" i="60"/>
  <c r="AM35" i="60"/>
  <c r="AL35" i="60"/>
  <c r="AK35" i="60"/>
  <c r="AT33" i="60"/>
  <c r="AS33" i="60"/>
  <c r="AR33" i="60"/>
  <c r="AQ33" i="60"/>
  <c r="AP33" i="60"/>
  <c r="AO33" i="60"/>
  <c r="AN33" i="60"/>
  <c r="AM33" i="60"/>
  <c r="AL33" i="60"/>
  <c r="AK33" i="60"/>
  <c r="AJ52" i="60"/>
  <c r="AF52" i="60"/>
  <c r="AD52" i="60"/>
  <c r="AB52" i="60"/>
  <c r="X52" i="60"/>
  <c r="V52" i="60"/>
  <c r="T52" i="60"/>
  <c r="R52" i="60"/>
  <c r="O52" i="60"/>
  <c r="M52" i="60"/>
  <c r="K52" i="60"/>
  <c r="P52" i="60" s="1"/>
  <c r="I52" i="60"/>
  <c r="Z51" i="60"/>
  <c r="Z50" i="60"/>
  <c r="P50" i="60"/>
  <c r="Z49" i="60"/>
  <c r="P49" i="60"/>
  <c r="AH48" i="60"/>
  <c r="Z48" i="60"/>
  <c r="P48" i="60"/>
  <c r="AH47" i="60"/>
  <c r="AH52" i="60" s="1"/>
  <c r="Z47" i="60"/>
  <c r="Z52" i="60" s="1"/>
  <c r="P47" i="60"/>
  <c r="AJ44" i="60"/>
  <c r="AI44" i="60"/>
  <c r="AH44" i="60"/>
  <c r="AG44" i="60"/>
  <c r="AF44" i="60"/>
  <c r="AE44" i="60"/>
  <c r="AD44" i="60"/>
  <c r="AC44" i="60"/>
  <c r="AB44" i="60"/>
  <c r="AA44" i="60"/>
  <c r="U44" i="60"/>
  <c r="T44" i="60"/>
  <c r="S44" i="60"/>
  <c r="Q44" i="60"/>
  <c r="N44" i="60"/>
  <c r="L44" i="60"/>
  <c r="J44" i="60"/>
  <c r="H44" i="60"/>
  <c r="F44" i="60"/>
  <c r="E44" i="60"/>
  <c r="D44" i="60"/>
  <c r="C44" i="60"/>
  <c r="AI39" i="60"/>
  <c r="AG39" i="60"/>
  <c r="AE39" i="60"/>
  <c r="AD39" i="60"/>
  <c r="AC39" i="60"/>
  <c r="AB39" i="60"/>
  <c r="AA39" i="60"/>
  <c r="W39" i="60"/>
  <c r="U39" i="60"/>
  <c r="Q39" i="60"/>
  <c r="N39" i="60"/>
  <c r="L39" i="60"/>
  <c r="J39" i="60"/>
  <c r="I39" i="60"/>
  <c r="H39" i="60"/>
  <c r="F39" i="60"/>
  <c r="E39" i="60"/>
  <c r="D39" i="60"/>
  <c r="C39" i="60"/>
  <c r="AI38" i="60"/>
  <c r="AG38" i="60"/>
  <c r="AE38" i="60"/>
  <c r="AD38" i="60"/>
  <c r="AC38" i="60"/>
  <c r="AB38" i="60"/>
  <c r="AA38" i="60"/>
  <c r="W38" i="60"/>
  <c r="U38" i="60"/>
  <c r="S38" i="60"/>
  <c r="Q38" i="60"/>
  <c r="N38" i="60"/>
  <c r="M38" i="60"/>
  <c r="L38" i="60"/>
  <c r="J38" i="60"/>
  <c r="I38" i="60"/>
  <c r="H38" i="60"/>
  <c r="F38" i="60"/>
  <c r="E38" i="60"/>
  <c r="D38" i="60"/>
  <c r="C38" i="60"/>
  <c r="AI37" i="60"/>
  <c r="AG37" i="60"/>
  <c r="AE37" i="60"/>
  <c r="AD37" i="60"/>
  <c r="AC37" i="60"/>
  <c r="AB37" i="60"/>
  <c r="AA37" i="60"/>
  <c r="W37" i="60"/>
  <c r="U37" i="60"/>
  <c r="S37" i="60"/>
  <c r="Q37" i="60"/>
  <c r="N37" i="60"/>
  <c r="L37" i="60"/>
  <c r="J37" i="60"/>
  <c r="H37" i="60"/>
  <c r="F37" i="60"/>
  <c r="E37" i="60"/>
  <c r="D37" i="60"/>
  <c r="G37" i="60" s="1"/>
  <c r="C37" i="60"/>
  <c r="AJ35" i="60"/>
  <c r="AI35" i="60"/>
  <c r="AH35" i="60"/>
  <c r="AG35" i="60"/>
  <c r="AF35" i="60"/>
  <c r="AE35" i="60"/>
  <c r="AD35" i="60"/>
  <c r="AC35" i="60"/>
  <c r="AB35" i="60"/>
  <c r="AA35" i="60"/>
  <c r="W35" i="60"/>
  <c r="V35" i="60"/>
  <c r="R35" i="60"/>
  <c r="M35" i="60"/>
  <c r="K35" i="60"/>
  <c r="I35" i="60"/>
  <c r="G35" i="60"/>
  <c r="AJ33" i="60"/>
  <c r="AI33" i="60"/>
  <c r="AH33" i="60"/>
  <c r="AG33" i="60"/>
  <c r="AF33" i="60"/>
  <c r="AE33" i="60"/>
  <c r="AD33" i="60"/>
  <c r="AC33" i="60"/>
  <c r="AB33" i="60"/>
  <c r="AA33" i="60"/>
  <c r="V33" i="60"/>
  <c r="R33" i="60"/>
  <c r="O33" i="60"/>
  <c r="M33" i="60"/>
  <c r="K33" i="60"/>
  <c r="G33" i="60"/>
  <c r="Z25" i="60"/>
  <c r="Y25" i="60"/>
  <c r="P25" i="60"/>
  <c r="G25" i="60"/>
  <c r="Z24" i="60"/>
  <c r="Y24" i="60"/>
  <c r="P24" i="60"/>
  <c r="G24" i="60"/>
  <c r="Z23" i="60"/>
  <c r="Y23" i="60"/>
  <c r="P23" i="60"/>
  <c r="G23" i="60"/>
  <c r="V22" i="60"/>
  <c r="V26" i="60"/>
  <c r="U22" i="60"/>
  <c r="T22" i="60"/>
  <c r="T26" i="60" s="1"/>
  <c r="S22" i="60"/>
  <c r="R22" i="60"/>
  <c r="R26" i="60" s="1"/>
  <c r="Q22" i="60"/>
  <c r="O22" i="60"/>
  <c r="O26" i="60"/>
  <c r="N22" i="60"/>
  <c r="M22" i="60"/>
  <c r="M26" i="60"/>
  <c r="L22" i="60"/>
  <c r="L26" i="60" s="1"/>
  <c r="K22" i="60"/>
  <c r="K26" i="60" s="1"/>
  <c r="J22" i="60"/>
  <c r="J26" i="60" s="1"/>
  <c r="I22" i="60"/>
  <c r="I26" i="60"/>
  <c r="H22" i="60"/>
  <c r="F22" i="60"/>
  <c r="F26" i="60"/>
  <c r="E22" i="60"/>
  <c r="E26" i="60" s="1"/>
  <c r="D22" i="60"/>
  <c r="C22" i="60"/>
  <c r="AJ21" i="60"/>
  <c r="AI21" i="60"/>
  <c r="AI22" i="60" s="1"/>
  <c r="AI26" i="60" s="1"/>
  <c r="AH21" i="60"/>
  <c r="AG21" i="60"/>
  <c r="AG22" i="60" s="1"/>
  <c r="AG26" i="60" s="1"/>
  <c r="AF21" i="60"/>
  <c r="AE21" i="60"/>
  <c r="AD21" i="60"/>
  <c r="AC21" i="60"/>
  <c r="AB21" i="60"/>
  <c r="AA21" i="60"/>
  <c r="Y21" i="60"/>
  <c r="X21" i="60"/>
  <c r="Z21" i="60"/>
  <c r="P21" i="60"/>
  <c r="G21" i="60"/>
  <c r="AJ20" i="60"/>
  <c r="AJ22" i="60" s="1"/>
  <c r="AJ26" i="60" s="1"/>
  <c r="AI20" i="60"/>
  <c r="AH20" i="60"/>
  <c r="AH22" i="60" s="1"/>
  <c r="AH26" i="60" s="1"/>
  <c r="AG20" i="60"/>
  <c r="AF20" i="60"/>
  <c r="AE20" i="60"/>
  <c r="AE22" i="60" s="1"/>
  <c r="AE26" i="60" s="1"/>
  <c r="AD20" i="60"/>
  <c r="AC20" i="60"/>
  <c r="AC22" i="60"/>
  <c r="AC26" i="60" s="1"/>
  <c r="AB20" i="60"/>
  <c r="AA20" i="60"/>
  <c r="AA22" i="60" s="1"/>
  <c r="AA26" i="60" s="1"/>
  <c r="W20" i="60"/>
  <c r="Y20" i="60"/>
  <c r="Y22" i="60" s="1"/>
  <c r="P20" i="60"/>
  <c r="P22" i="60" s="1"/>
  <c r="P26" i="60" s="1"/>
  <c r="G20" i="60"/>
  <c r="AJ12" i="60"/>
  <c r="AJ39" i="60" s="1"/>
  <c r="AH12" i="60"/>
  <c r="AH39" i="60" s="1"/>
  <c r="AF12" i="60"/>
  <c r="AF39" i="60" s="1"/>
  <c r="X12" i="60"/>
  <c r="X39" i="60" s="1"/>
  <c r="V12" i="60"/>
  <c r="V39" i="60" s="1"/>
  <c r="S12" i="60"/>
  <c r="Y12" i="60" s="1"/>
  <c r="R12" i="60"/>
  <c r="R39" i="60" s="1"/>
  <c r="O12" i="60"/>
  <c r="O39" i="60" s="1"/>
  <c r="M12" i="60"/>
  <c r="M39" i="60" s="1"/>
  <c r="K12" i="60"/>
  <c r="K39" i="60" s="1"/>
  <c r="G12" i="60"/>
  <c r="AJ11" i="60"/>
  <c r="AJ38" i="60" s="1"/>
  <c r="AH11" i="60"/>
  <c r="AH38" i="60" s="1"/>
  <c r="AF11" i="60"/>
  <c r="AF38" i="60" s="1"/>
  <c r="Y11" i="60"/>
  <c r="X11" i="60"/>
  <c r="X38" i="60" s="1"/>
  <c r="V11" i="60"/>
  <c r="V38" i="60" s="1"/>
  <c r="T11" i="60"/>
  <c r="T38" i="60" s="1"/>
  <c r="R11" i="60"/>
  <c r="R38" i="60" s="1"/>
  <c r="O11" i="60"/>
  <c r="K11" i="60"/>
  <c r="K38" i="60" s="1"/>
  <c r="G11" i="60"/>
  <c r="AJ10" i="60"/>
  <c r="AJ37" i="60" s="1"/>
  <c r="AH10" i="60"/>
  <c r="AH37" i="60" s="1"/>
  <c r="AF10" i="60"/>
  <c r="AF37" i="60" s="1"/>
  <c r="Y10" i="60"/>
  <c r="X10" i="60"/>
  <c r="X37" i="60" s="1"/>
  <c r="V10" i="60"/>
  <c r="V37" i="60" s="1"/>
  <c r="T10" i="60"/>
  <c r="T37" i="60" s="1"/>
  <c r="R10" i="60"/>
  <c r="R37" i="60" s="1"/>
  <c r="O10" i="60"/>
  <c r="O37" i="60" s="1"/>
  <c r="M10" i="60"/>
  <c r="M37" i="60" s="1"/>
  <c r="K10" i="60"/>
  <c r="K37" i="60" s="1"/>
  <c r="I37" i="60"/>
  <c r="G10" i="60"/>
  <c r="Y8" i="60"/>
  <c r="Y35" i="60" s="1"/>
  <c r="X8" i="60"/>
  <c r="X35" i="60" s="1"/>
  <c r="V8" i="60"/>
  <c r="R8" i="60"/>
  <c r="M8" i="60"/>
  <c r="K8" i="60"/>
  <c r="I8" i="60"/>
  <c r="I44" i="60" s="1"/>
  <c r="G8" i="60"/>
  <c r="AJ7" i="60"/>
  <c r="AI7" i="60"/>
  <c r="AH7" i="60"/>
  <c r="AH34" i="60" s="1"/>
  <c r="AG7" i="60"/>
  <c r="AF7" i="60"/>
  <c r="AE7" i="60"/>
  <c r="AD7" i="60"/>
  <c r="AC7" i="60"/>
  <c r="AC34" i="60" s="1"/>
  <c r="AB7" i="60"/>
  <c r="AB34" i="60" s="1"/>
  <c r="AA7" i="60"/>
  <c r="AA34" i="60" s="1"/>
  <c r="W7" i="60"/>
  <c r="X7" i="60" s="1"/>
  <c r="U7" i="60"/>
  <c r="V7" i="60" s="1"/>
  <c r="V34" i="60" s="1"/>
  <c r="S7" i="60"/>
  <c r="Q7" i="60"/>
  <c r="N7" i="60"/>
  <c r="N34" i="60" s="1"/>
  <c r="L7" i="60"/>
  <c r="L34" i="60" s="1"/>
  <c r="J7" i="60"/>
  <c r="K7" i="60" s="1"/>
  <c r="K34" i="60" s="1"/>
  <c r="H7" i="60"/>
  <c r="H34" i="60" s="1"/>
  <c r="F7" i="60"/>
  <c r="F34" i="60" s="1"/>
  <c r="E7" i="60"/>
  <c r="E34" i="60" s="1"/>
  <c r="D7" i="60"/>
  <c r="D34" i="60" s="1"/>
  <c r="C7" i="60"/>
  <c r="C34" i="60" s="1"/>
  <c r="W6" i="60"/>
  <c r="Y6" i="60" s="1"/>
  <c r="V6" i="60"/>
  <c r="R6" i="60"/>
  <c r="O6" i="60"/>
  <c r="O44" i="60" s="1"/>
  <c r="M6" i="60"/>
  <c r="K6" i="60"/>
  <c r="G6" i="60"/>
  <c r="AJ5" i="60"/>
  <c r="AI5" i="60"/>
  <c r="AH5" i="60"/>
  <c r="AG5" i="60"/>
  <c r="AG32" i="60" s="1"/>
  <c r="AF5" i="60"/>
  <c r="AE5" i="60"/>
  <c r="AD5" i="60"/>
  <c r="AC5" i="60"/>
  <c r="AB5" i="60"/>
  <c r="AB32" i="60" s="1"/>
  <c r="AA5" i="60"/>
  <c r="W5" i="60"/>
  <c r="U5" i="60"/>
  <c r="V5" i="60" s="1"/>
  <c r="S5" i="60"/>
  <c r="T5" i="60" s="1"/>
  <c r="T32" i="60" s="1"/>
  <c r="Q5" i="60"/>
  <c r="Q32" i="60" s="1"/>
  <c r="N5" i="60"/>
  <c r="O5" i="60" s="1"/>
  <c r="L5" i="60"/>
  <c r="L32" i="60" s="1"/>
  <c r="J5" i="60"/>
  <c r="K5" i="60" s="1"/>
  <c r="K32" i="60" s="1"/>
  <c r="H5" i="60"/>
  <c r="H32" i="60" s="1"/>
  <c r="F5" i="60"/>
  <c r="F32" i="60" s="1"/>
  <c r="E5" i="60"/>
  <c r="E32" i="60" s="1"/>
  <c r="D5" i="60"/>
  <c r="D32" i="60" s="1"/>
  <c r="C5" i="60"/>
  <c r="V42" i="55"/>
  <c r="V43" i="55"/>
  <c r="V44" i="55"/>
  <c r="V45" i="55"/>
  <c r="V46" i="55"/>
  <c r="U17" i="46"/>
  <c r="V17" i="46"/>
  <c r="U8" i="46"/>
  <c r="V8" i="46"/>
  <c r="V21" i="46"/>
  <c r="V19" i="46" s="1"/>
  <c r="U21" i="46"/>
  <c r="U19" i="46" s="1"/>
  <c r="U15" i="46"/>
  <c r="U10" i="46"/>
  <c r="V54" i="55"/>
  <c r="V53" i="55"/>
  <c r="V52" i="55"/>
  <c r="V51" i="55"/>
  <c r="V50" i="55"/>
  <c r="V41" i="55"/>
  <c r="V40" i="55"/>
  <c r="V39" i="55"/>
  <c r="V38" i="55"/>
  <c r="V37" i="55"/>
  <c r="V36" i="55"/>
  <c r="V35" i="55"/>
  <c r="V34" i="55"/>
  <c r="V33" i="55"/>
  <c r="V32" i="55"/>
  <c r="V31" i="55"/>
  <c r="V30" i="55"/>
  <c r="V29" i="55"/>
  <c r="V28" i="55"/>
  <c r="V27" i="55"/>
  <c r="V26" i="55"/>
  <c r="V25" i="55"/>
  <c r="V24" i="55"/>
  <c r="V23" i="55"/>
  <c r="V22" i="55"/>
  <c r="V21" i="55"/>
  <c r="V20" i="55"/>
  <c r="V19" i="55"/>
  <c r="V18" i="55"/>
  <c r="V17" i="55"/>
  <c r="V16" i="55"/>
  <c r="V15" i="55"/>
  <c r="V14" i="55"/>
  <c r="V13" i="55"/>
  <c r="V12" i="55"/>
  <c r="V11" i="55"/>
  <c r="V10" i="55"/>
  <c r="V9" i="55"/>
  <c r="V8" i="55"/>
  <c r="V7" i="55"/>
  <c r="V6" i="55"/>
  <c r="BE19" i="56"/>
  <c r="BD19" i="56"/>
  <c r="BC19" i="56"/>
  <c r="BB19" i="56"/>
  <c r="BA19" i="56"/>
  <c r="AU19" i="56"/>
  <c r="AT19" i="56"/>
  <c r="AS19" i="56"/>
  <c r="AR19" i="56"/>
  <c r="AQ19" i="56"/>
  <c r="AP19" i="56"/>
  <c r="AO19" i="56"/>
  <c r="AN19" i="56"/>
  <c r="AM19" i="56"/>
  <c r="AL19" i="56"/>
  <c r="AK19" i="56"/>
  <c r="AJ19" i="56"/>
  <c r="AI19" i="56"/>
  <c r="AH19" i="56"/>
  <c r="AG19" i="56"/>
  <c r="AF19" i="56"/>
  <c r="AE19" i="56"/>
  <c r="AD19" i="56"/>
  <c r="AC19" i="56"/>
  <c r="AB19" i="56"/>
  <c r="V19" i="56"/>
  <c r="U19" i="56"/>
  <c r="T19" i="56"/>
  <c r="S19" i="56"/>
  <c r="R19" i="56"/>
  <c r="Q19" i="56"/>
  <c r="P19" i="56"/>
  <c r="O19" i="56"/>
  <c r="N19" i="56"/>
  <c r="M19" i="56"/>
  <c r="L19" i="56"/>
  <c r="K19" i="56"/>
  <c r="J19" i="56"/>
  <c r="I19" i="56"/>
  <c r="H19" i="56"/>
  <c r="G19" i="56"/>
  <c r="F19" i="56"/>
  <c r="E19" i="56"/>
  <c r="D19" i="56"/>
  <c r="C19" i="56"/>
  <c r="BY18" i="56"/>
  <c r="BX18" i="56"/>
  <c r="BW18" i="56"/>
  <c r="BV18" i="56"/>
  <c r="BU18" i="56"/>
  <c r="AZ18" i="56"/>
  <c r="AY18" i="56"/>
  <c r="AX18" i="56"/>
  <c r="AW18" i="56"/>
  <c r="AV18" i="56"/>
  <c r="AA18" i="56"/>
  <c r="Z18" i="56"/>
  <c r="Y18" i="56"/>
  <c r="X18" i="56"/>
  <c r="W18" i="56"/>
  <c r="BV17" i="56"/>
  <c r="BU17" i="56"/>
  <c r="AW17" i="56"/>
  <c r="AV17" i="56"/>
  <c r="X17" i="56"/>
  <c r="W17" i="56"/>
  <c r="BY16" i="56"/>
  <c r="BY15" i="56"/>
  <c r="BU16" i="56"/>
  <c r="BU15" i="56"/>
  <c r="BU14" i="56"/>
  <c r="BU13" i="56"/>
  <c r="BU12" i="56"/>
  <c r="BU11" i="56"/>
  <c r="BU10" i="56"/>
  <c r="BU9" i="56"/>
  <c r="BU8" i="56"/>
  <c r="AZ16" i="56"/>
  <c r="AZ15" i="56"/>
  <c r="AV16" i="56"/>
  <c r="AV15" i="56"/>
  <c r="AV14" i="56"/>
  <c r="AV13" i="56"/>
  <c r="AV12" i="56"/>
  <c r="AV11" i="56"/>
  <c r="AV10" i="56"/>
  <c r="AV9" i="56"/>
  <c r="AV8" i="56"/>
  <c r="AA16" i="56"/>
  <c r="AA19" i="56" s="1"/>
  <c r="AA15" i="56"/>
  <c r="W16" i="56"/>
  <c r="W15" i="56"/>
  <c r="W14" i="56"/>
  <c r="W13" i="56"/>
  <c r="W12" i="56"/>
  <c r="W11" i="56"/>
  <c r="W10" i="56"/>
  <c r="W9" i="56"/>
  <c r="W8" i="56"/>
  <c r="BW14" i="56"/>
  <c r="BV14" i="56"/>
  <c r="AX14" i="56"/>
  <c r="AW14" i="56"/>
  <c r="Y14" i="56"/>
  <c r="X14" i="56"/>
  <c r="BW13" i="56"/>
  <c r="BW12" i="56"/>
  <c r="BW11" i="56"/>
  <c r="BW10" i="56"/>
  <c r="BW9" i="56"/>
  <c r="BW8" i="56"/>
  <c r="AX13" i="56"/>
  <c r="AX12" i="56"/>
  <c r="AX11" i="56"/>
  <c r="AX10" i="56"/>
  <c r="AX9" i="56"/>
  <c r="AX8" i="56"/>
  <c r="Y13" i="56"/>
  <c r="Y12" i="56"/>
  <c r="Y11" i="56"/>
  <c r="Y10" i="56"/>
  <c r="Y19" i="56" s="1"/>
  <c r="Y9" i="56"/>
  <c r="Y8" i="56"/>
  <c r="BV12" i="56"/>
  <c r="BV11" i="56"/>
  <c r="BV10" i="56"/>
  <c r="BV9" i="56"/>
  <c r="BV8" i="56"/>
  <c r="AW12" i="56"/>
  <c r="AW11" i="56"/>
  <c r="AW10" i="56"/>
  <c r="AW9" i="56"/>
  <c r="AW8" i="56"/>
  <c r="X12" i="56"/>
  <c r="X11" i="56"/>
  <c r="X10" i="56"/>
  <c r="X9" i="56"/>
  <c r="X8" i="56"/>
  <c r="BX11" i="56"/>
  <c r="BX10" i="56"/>
  <c r="BX9" i="56"/>
  <c r="BX8" i="56"/>
  <c r="AY11" i="56"/>
  <c r="AY10" i="56"/>
  <c r="AY19" i="56" s="1"/>
  <c r="AY9" i="56"/>
  <c r="AY8" i="56"/>
  <c r="Z11" i="56"/>
  <c r="Z10" i="56"/>
  <c r="Z9" i="56"/>
  <c r="Z19" i="56" s="1"/>
  <c r="Z8" i="56"/>
  <c r="Q54" i="55"/>
  <c r="Q53" i="55"/>
  <c r="Q52" i="55"/>
  <c r="Q51" i="55"/>
  <c r="Q50" i="55"/>
  <c r="L49" i="55"/>
  <c r="K49" i="55"/>
  <c r="J49" i="55"/>
  <c r="I49" i="55"/>
  <c r="H49" i="55"/>
  <c r="G49" i="55"/>
  <c r="F49" i="55"/>
  <c r="E49" i="55"/>
  <c r="D49" i="55"/>
  <c r="C49" i="55"/>
  <c r="Q41" i="55"/>
  <c r="Q40" i="55"/>
  <c r="Q39" i="55"/>
  <c r="Q38" i="55"/>
  <c r="Q37" i="55"/>
  <c r="Q36" i="55"/>
  <c r="Q35" i="55"/>
  <c r="Q34" i="55"/>
  <c r="Q33" i="55"/>
  <c r="Q32" i="55"/>
  <c r="Q31" i="55"/>
  <c r="Q30" i="55"/>
  <c r="Q29" i="55"/>
  <c r="Q28" i="55"/>
  <c r="Q27" i="55"/>
  <c r="Q26" i="55"/>
  <c r="Q25" i="55"/>
  <c r="Q24" i="55"/>
  <c r="Q23" i="55"/>
  <c r="Q22" i="55"/>
  <c r="Q21" i="55"/>
  <c r="Q20" i="55"/>
  <c r="Q19" i="55"/>
  <c r="Q18" i="55"/>
  <c r="Q17" i="55"/>
  <c r="Q16" i="55"/>
  <c r="Q15" i="55"/>
  <c r="Q14" i="55"/>
  <c r="Q13" i="55"/>
  <c r="Q12" i="55"/>
  <c r="Q11" i="55"/>
  <c r="Q10" i="55"/>
  <c r="Q9" i="55"/>
  <c r="Q8" i="55"/>
  <c r="Q7" i="55"/>
  <c r="Q6" i="55"/>
  <c r="G41" i="55"/>
  <c r="F41" i="55"/>
  <c r="I32" i="55"/>
  <c r="I31" i="55"/>
  <c r="I30" i="55"/>
  <c r="I29" i="55"/>
  <c r="D32" i="55"/>
  <c r="D31" i="55"/>
  <c r="C31" i="55" s="1"/>
  <c r="D30" i="55"/>
  <c r="D29" i="55"/>
  <c r="C29" i="55" s="1"/>
  <c r="C27" i="55"/>
  <c r="C25" i="55"/>
  <c r="C24" i="55"/>
  <c r="C15" i="55"/>
  <c r="C13" i="55"/>
  <c r="C10" i="55"/>
  <c r="H9" i="55"/>
  <c r="H8" i="55"/>
  <c r="C8" i="55"/>
  <c r="C7" i="55"/>
  <c r="T21" i="46"/>
  <c r="T19" i="46" s="1"/>
  <c r="S21" i="46"/>
  <c r="S19" i="46" s="1"/>
  <c r="S17" i="46"/>
  <c r="S7" i="46" s="1"/>
  <c r="R19" i="46"/>
  <c r="T7" i="46"/>
  <c r="T22" i="51"/>
  <c r="R7" i="46"/>
  <c r="M20" i="46"/>
  <c r="N21" i="46"/>
  <c r="N19" i="46" s="1"/>
  <c r="N25" i="46" s="1"/>
  <c r="M21" i="46"/>
  <c r="P19" i="46"/>
  <c r="Q19" i="46"/>
  <c r="Q7" i="46"/>
  <c r="Q22" i="51" s="1"/>
  <c r="P7" i="46"/>
  <c r="Q25" i="46"/>
  <c r="O47" i="50"/>
  <c r="O36" i="50"/>
  <c r="O49" i="50" s="1"/>
  <c r="O53" i="50" s="1"/>
  <c r="O17" i="50"/>
  <c r="O23" i="50" s="1"/>
  <c r="O19" i="46"/>
  <c r="O17" i="46"/>
  <c r="O13" i="46"/>
  <c r="O8" i="46"/>
  <c r="F21" i="50"/>
  <c r="F23" i="50" s="1"/>
  <c r="F46" i="50"/>
  <c r="F47" i="50" s="1"/>
  <c r="E46" i="50"/>
  <c r="E43" i="50"/>
  <c r="F41" i="42"/>
  <c r="F37" i="42"/>
  <c r="F35" i="42"/>
  <c r="F39" i="42"/>
  <c r="F33" i="42"/>
  <c r="F17" i="42"/>
  <c r="F18" i="42" s="1"/>
  <c r="C30" i="50"/>
  <c r="C36" i="50" s="1"/>
  <c r="C17" i="46"/>
  <c r="C16" i="46"/>
  <c r="C15" i="46"/>
  <c r="C12" i="46"/>
  <c r="C11" i="46"/>
  <c r="M18" i="42"/>
  <c r="L18" i="42"/>
  <c r="J18" i="42"/>
  <c r="I18" i="42"/>
  <c r="H18" i="42"/>
  <c r="G18" i="42"/>
  <c r="E18" i="42"/>
  <c r="D18" i="42"/>
  <c r="C18" i="42"/>
  <c r="M9" i="42"/>
  <c r="M15" i="42" s="1"/>
  <c r="L9" i="42"/>
  <c r="L15" i="42" s="1"/>
  <c r="J9" i="42"/>
  <c r="J15" i="42" s="1"/>
  <c r="J19" i="42" s="1"/>
  <c r="J21" i="42" s="1"/>
  <c r="I9" i="42"/>
  <c r="H9" i="42"/>
  <c r="H15" i="42" s="1"/>
  <c r="G9" i="42"/>
  <c r="G15" i="42" s="1"/>
  <c r="G19" i="42" s="1"/>
  <c r="G21" i="42" s="1"/>
  <c r="F9" i="42"/>
  <c r="F15" i="42" s="1"/>
  <c r="E9" i="42"/>
  <c r="D9" i="42"/>
  <c r="D15" i="42" s="1"/>
  <c r="D19" i="42" s="1"/>
  <c r="D21" i="42" s="1"/>
  <c r="C9" i="42"/>
  <c r="C15" i="42" s="1"/>
  <c r="C19" i="42" s="1"/>
  <c r="C21" i="42" s="1"/>
  <c r="N17" i="50"/>
  <c r="N23" i="50" s="1"/>
  <c r="N49" i="50" s="1"/>
  <c r="N53" i="50" s="1"/>
  <c r="M17" i="50"/>
  <c r="M23" i="50"/>
  <c r="M49" i="50" s="1"/>
  <c r="M53" i="50" s="1"/>
  <c r="L17" i="50"/>
  <c r="L23" i="50"/>
  <c r="L49" i="50" s="1"/>
  <c r="L53" i="50" s="1"/>
  <c r="K17" i="50"/>
  <c r="K23" i="50"/>
  <c r="K49" i="50" s="1"/>
  <c r="K53" i="50" s="1"/>
  <c r="J17" i="50"/>
  <c r="J23" i="50" s="1"/>
  <c r="J49" i="50" s="1"/>
  <c r="J53" i="50" s="1"/>
  <c r="I17" i="50"/>
  <c r="I23" i="50"/>
  <c r="H17" i="50"/>
  <c r="H23" i="50" s="1"/>
  <c r="H49" i="50" s="1"/>
  <c r="H53" i="50" s="1"/>
  <c r="G17" i="50"/>
  <c r="G23" i="50"/>
  <c r="F17" i="50"/>
  <c r="E17" i="50"/>
  <c r="E23" i="50" s="1"/>
  <c r="D17" i="50"/>
  <c r="D23" i="50" s="1"/>
  <c r="D49" i="50" s="1"/>
  <c r="D53" i="50" s="1"/>
  <c r="C17" i="50"/>
  <c r="C23" i="50" s="1"/>
  <c r="I47" i="50"/>
  <c r="J47" i="50"/>
  <c r="K47" i="50"/>
  <c r="L47" i="50"/>
  <c r="M47" i="50"/>
  <c r="N47" i="50"/>
  <c r="C47" i="50"/>
  <c r="D47" i="50"/>
  <c r="G47" i="50"/>
  <c r="I36" i="50"/>
  <c r="J36" i="50"/>
  <c r="K36" i="50"/>
  <c r="L36" i="50"/>
  <c r="M36" i="50"/>
  <c r="N36" i="50"/>
  <c r="D36" i="50"/>
  <c r="E36" i="50"/>
  <c r="F36" i="50"/>
  <c r="G36" i="50"/>
  <c r="H47" i="50"/>
  <c r="H36" i="50"/>
  <c r="K39" i="42"/>
  <c r="K32" i="42"/>
  <c r="K18" i="42"/>
  <c r="K9" i="42"/>
  <c r="K15" i="42" s="1"/>
  <c r="N7" i="46"/>
  <c r="L19" i="46"/>
  <c r="J19" i="46"/>
  <c r="I19" i="46"/>
  <c r="L7" i="46"/>
  <c r="L25" i="46" s="1"/>
  <c r="J7" i="46"/>
  <c r="I7" i="46"/>
  <c r="G19" i="46"/>
  <c r="F19" i="46"/>
  <c r="F25" i="46" s="1"/>
  <c r="E19" i="46"/>
  <c r="D19" i="46"/>
  <c r="C19" i="46"/>
  <c r="G7" i="46"/>
  <c r="G25" i="46" s="1"/>
  <c r="F7" i="46"/>
  <c r="E7" i="46"/>
  <c r="E25" i="46" s="1"/>
  <c r="D7" i="46"/>
  <c r="D25" i="46" s="1"/>
  <c r="H7" i="46"/>
  <c r="H19" i="46"/>
  <c r="H25" i="46" s="1"/>
  <c r="M7" i="46"/>
  <c r="E15" i="42"/>
  <c r="E19" i="42" s="1"/>
  <c r="E21" i="42" s="1"/>
  <c r="I15" i="42"/>
  <c r="I19" i="42" s="1"/>
  <c r="I21" i="42" s="1"/>
  <c r="Y22" i="51"/>
  <c r="Z25" i="46"/>
  <c r="Z22" i="51"/>
  <c r="Y38" i="60"/>
  <c r="U26" i="60"/>
  <c r="D26" i="60"/>
  <c r="AY9" i="60"/>
  <c r="AF7" i="46"/>
  <c r="AF22" i="51" s="1"/>
  <c r="H26" i="60"/>
  <c r="C26" i="60"/>
  <c r="AO22" i="60"/>
  <c r="AO26" i="60" s="1"/>
  <c r="AT21" i="60"/>
  <c r="AF25" i="46"/>
  <c r="AE22" i="51"/>
  <c r="P33" i="60"/>
  <c r="S26" i="60"/>
  <c r="Q26" i="60"/>
  <c r="BD52" i="60"/>
  <c r="AY22" i="60"/>
  <c r="AY32" i="60"/>
  <c r="AY36" i="60" s="1"/>
  <c r="BC26" i="60"/>
  <c r="AY26" i="60"/>
  <c r="AG25" i="46"/>
  <c r="J25" i="46"/>
  <c r="ER19" i="56"/>
  <c r="AK25" i="46"/>
  <c r="AJ22" i="51"/>
  <c r="BN32" i="60"/>
  <c r="BL32" i="60"/>
  <c r="BL36" i="60" s="1"/>
  <c r="BM13" i="60"/>
  <c r="BL34" i="60"/>
  <c r="BM32" i="60"/>
  <c r="BM36" i="60" s="1"/>
  <c r="BM40" i="60" s="1"/>
  <c r="BK37" i="60"/>
  <c r="BO22" i="60"/>
  <c r="BO26" i="60" s="1"/>
  <c r="AY40" i="60"/>
  <c r="BD22" i="60"/>
  <c r="BD26" i="60" s="1"/>
  <c r="AN22" i="60"/>
  <c r="AN26" i="60" s="1"/>
  <c r="Y37" i="60"/>
  <c r="N26" i="60"/>
  <c r="W22" i="60"/>
  <c r="X20" i="60"/>
  <c r="Z20" i="60" s="1"/>
  <c r="Z22" i="60" s="1"/>
  <c r="Z26" i="60" s="1"/>
  <c r="AB22" i="60"/>
  <c r="AB26" i="60" s="1"/>
  <c r="AQ22" i="60"/>
  <c r="AQ26" i="60" s="1"/>
  <c r="AZ34" i="60"/>
  <c r="AY13" i="60"/>
  <c r="BE22" i="60"/>
  <c r="BK13" i="60"/>
  <c r="BP22" i="60"/>
  <c r="BP26" i="60" s="1"/>
  <c r="W26" i="60"/>
  <c r="BE26" i="60"/>
  <c r="AJ25" i="46"/>
  <c r="AV32" i="60" l="1"/>
  <c r="X22" i="60"/>
  <c r="X26" i="60" s="1"/>
  <c r="AI25" i="46"/>
  <c r="G49" i="50"/>
  <c r="G53" i="50" s="1"/>
  <c r="H19" i="42"/>
  <c r="H21" i="42" s="1"/>
  <c r="AE32" i="60"/>
  <c r="X34" i="60"/>
  <c r="Y39" i="60"/>
  <c r="CW19" i="56"/>
  <c r="AO32" i="60"/>
  <c r="AU32" i="60"/>
  <c r="AV38" i="60"/>
  <c r="BB22" i="60"/>
  <c r="BB26" i="60" s="1"/>
  <c r="BB52" i="60"/>
  <c r="CU19" i="56"/>
  <c r="AH32" i="60"/>
  <c r="AH36" i="60" s="1"/>
  <c r="AH40" i="60" s="1"/>
  <c r="AP32" i="60"/>
  <c r="DW19" i="56"/>
  <c r="AR34" i="60"/>
  <c r="AX32" i="60"/>
  <c r="BG34" i="60"/>
  <c r="BJ34" i="60"/>
  <c r="BJ36" i="60" s="1"/>
  <c r="BJ40" i="60" s="1"/>
  <c r="BV19" i="56"/>
  <c r="AX19" i="56"/>
  <c r="AI32" i="60"/>
  <c r="BD34" i="60"/>
  <c r="AJ32" i="60"/>
  <c r="AE34" i="60"/>
  <c r="AN34" i="60"/>
  <c r="AT34" i="60"/>
  <c r="EU19" i="56"/>
  <c r="BF32" i="60"/>
  <c r="BF36" i="60" s="1"/>
  <c r="BF40" i="60" s="1"/>
  <c r="I49" i="50"/>
  <c r="I53" i="50" s="1"/>
  <c r="AZ19" i="56"/>
  <c r="BY19" i="56"/>
  <c r="AV19" i="56"/>
  <c r="G39" i="60"/>
  <c r="AR37" i="60"/>
  <c r="AR39" i="60"/>
  <c r="FT19" i="56"/>
  <c r="BO34" i="60"/>
  <c r="W32" i="60"/>
  <c r="AG34" i="60"/>
  <c r="DS19" i="56"/>
  <c r="AT37" i="60"/>
  <c r="AW22" i="60"/>
  <c r="AW26" i="60" s="1"/>
  <c r="ET19" i="56"/>
  <c r="BB34" i="60"/>
  <c r="BI34" i="60"/>
  <c r="BO32" i="60"/>
  <c r="AA32" i="60"/>
  <c r="DU19" i="56"/>
  <c r="AR38" i="60"/>
  <c r="BE32" i="60"/>
  <c r="FS19" i="56"/>
  <c r="BP32" i="60"/>
  <c r="AI34" i="60"/>
  <c r="AI36" i="60" s="1"/>
  <c r="AI40" i="60" s="1"/>
  <c r="Y26" i="60"/>
  <c r="AT38" i="60"/>
  <c r="AZ36" i="60"/>
  <c r="AZ40" i="60" s="1"/>
  <c r="BK36" i="60"/>
  <c r="BK40" i="60" s="1"/>
  <c r="BP34" i="60"/>
  <c r="BN36" i="60"/>
  <c r="AW19" i="56"/>
  <c r="AC32" i="60"/>
  <c r="AJ34" i="60"/>
  <c r="P35" i="60"/>
  <c r="G38" i="60"/>
  <c r="AM32" i="60"/>
  <c r="BM22" i="60"/>
  <c r="BM26" i="60" s="1"/>
  <c r="BO9" i="60"/>
  <c r="BO13" i="60" s="1"/>
  <c r="U32" i="60"/>
  <c r="BB9" i="60"/>
  <c r="BB13" i="60" s="1"/>
  <c r="AH7" i="46"/>
  <c r="AH22" i="51" s="1"/>
  <c r="BI9" i="60"/>
  <c r="BI13" i="60" s="1"/>
  <c r="W7" i="46"/>
  <c r="W25" i="46" s="1"/>
  <c r="AC25" i="46"/>
  <c r="AC22" i="51"/>
  <c r="AC9" i="60"/>
  <c r="AC13" i="60" s="1"/>
  <c r="BJ9" i="60"/>
  <c r="BJ13" i="60" s="1"/>
  <c r="M7" i="60"/>
  <c r="M34" i="60" s="1"/>
  <c r="T25" i="46"/>
  <c r="BD9" i="60"/>
  <c r="BD13" i="60" s="1"/>
  <c r="AE25" i="46"/>
  <c r="I25" i="46"/>
  <c r="BH9" i="60"/>
  <c r="BH13" i="60" s="1"/>
  <c r="K19" i="42"/>
  <c r="K21" i="42" s="1"/>
  <c r="BC36" i="60"/>
  <c r="BC40" i="60" s="1"/>
  <c r="Z10" i="60"/>
  <c r="Z37" i="60" s="1"/>
  <c r="L19" i="42"/>
  <c r="L21" i="42" s="1"/>
  <c r="F9" i="60"/>
  <c r="F13" i="60" s="1"/>
  <c r="AL25" i="46"/>
  <c r="BI32" i="60"/>
  <c r="X7" i="46"/>
  <c r="X25" i="46" s="1"/>
  <c r="M19" i="46"/>
  <c r="M25" i="46" s="1"/>
  <c r="AU34" i="60"/>
  <c r="U7" i="46"/>
  <c r="U22" i="51" s="1"/>
  <c r="AV9" i="60"/>
  <c r="AV13" i="60" s="1"/>
  <c r="E29" i="68"/>
  <c r="S25" i="46"/>
  <c r="S22" i="51"/>
  <c r="AB22" i="51"/>
  <c r="AB25" i="46"/>
  <c r="F49" i="50"/>
  <c r="F53" i="50" s="1"/>
  <c r="C7" i="46"/>
  <c r="C25" i="46" s="1"/>
  <c r="S39" i="60"/>
  <c r="C49" i="50"/>
  <c r="C53" i="50" s="1"/>
  <c r="U9" i="60"/>
  <c r="U13" i="60" s="1"/>
  <c r="AG9" i="60"/>
  <c r="AG13" i="60" s="1"/>
  <c r="AZ13" i="60"/>
  <c r="BL13" i="60"/>
  <c r="AQ9" i="60"/>
  <c r="AQ13" i="60" s="1"/>
  <c r="BG32" i="60"/>
  <c r="U34" i="60"/>
  <c r="R5" i="60"/>
  <c r="R32" i="60" s="1"/>
  <c r="Q9" i="60"/>
  <c r="Q13" i="60" s="1"/>
  <c r="AH9" i="60"/>
  <c r="AH13" i="60" s="1"/>
  <c r="N32" i="60"/>
  <c r="N36" i="60" s="1"/>
  <c r="N40" i="60" s="1"/>
  <c r="L36" i="60"/>
  <c r="L40" i="60" s="1"/>
  <c r="G44" i="60"/>
  <c r="AF9" i="60"/>
  <c r="AF13" i="60" s="1"/>
  <c r="AP9" i="60"/>
  <c r="AP13" i="60" s="1"/>
  <c r="BE9" i="60"/>
  <c r="BE13" i="60" s="1"/>
  <c r="AQ34" i="60"/>
  <c r="BE36" i="60"/>
  <c r="BE40" i="60" s="1"/>
  <c r="J32" i="60"/>
  <c r="O7" i="46"/>
  <c r="O22" i="51" s="1"/>
  <c r="AJ9" i="60"/>
  <c r="AJ13" i="60" s="1"/>
  <c r="D9" i="60"/>
  <c r="D13" i="60" s="1"/>
  <c r="Q34" i="60"/>
  <c r="Q36" i="60" s="1"/>
  <c r="Q40" i="60" s="1"/>
  <c r="R7" i="60"/>
  <c r="R34" i="60" s="1"/>
  <c r="AW9" i="60"/>
  <c r="AW13" i="60" s="1"/>
  <c r="BL38" i="60"/>
  <c r="BL40" i="60" s="1"/>
  <c r="BD32" i="60"/>
  <c r="BD36" i="60" s="1"/>
  <c r="BD40" i="60" s="1"/>
  <c r="C9" i="60"/>
  <c r="C13" i="60" s="1"/>
  <c r="AB9" i="60"/>
  <c r="AB13" i="60" s="1"/>
  <c r="AD7" i="46"/>
  <c r="E47" i="50"/>
  <c r="E49" i="50" s="1"/>
  <c r="E53" i="50" s="1"/>
  <c r="F36" i="60"/>
  <c r="F40" i="60" s="1"/>
  <c r="AK9" i="60"/>
  <c r="AK13" i="60" s="1"/>
  <c r="M19" i="42"/>
  <c r="M21" i="42" s="1"/>
  <c r="Z11" i="60"/>
  <c r="Z38" i="60" s="1"/>
  <c r="W44" i="60"/>
  <c r="G34" i="60"/>
  <c r="AL9" i="60"/>
  <c r="AL13" i="60" s="1"/>
  <c r="AM9" i="60"/>
  <c r="AM13" i="60" s="1"/>
  <c r="BC9" i="60"/>
  <c r="BC13" i="60" s="1"/>
  <c r="N9" i="60"/>
  <c r="N13" i="60" s="1"/>
  <c r="AA9" i="60"/>
  <c r="AA13" i="60" s="1"/>
  <c r="P12" i="60"/>
  <c r="O7" i="60"/>
  <c r="O34" i="60" s="1"/>
  <c r="I5" i="60"/>
  <c r="I32" i="60" s="1"/>
  <c r="AD9" i="60"/>
  <c r="AD13" i="60" s="1"/>
  <c r="BN13" i="60"/>
  <c r="P39" i="60"/>
  <c r="X6" i="60"/>
  <c r="BF9" i="60"/>
  <c r="BF13" i="60" s="1"/>
  <c r="W33" i="60"/>
  <c r="BP9" i="60"/>
  <c r="BP13" i="60" s="1"/>
  <c r="AU9" i="60"/>
  <c r="AU13" i="60" s="1"/>
  <c r="W34" i="60"/>
  <c r="W36" i="60" s="1"/>
  <c r="W40" i="60" s="1"/>
  <c r="Y33" i="60"/>
  <c r="Y44" i="60"/>
  <c r="AO36" i="60"/>
  <c r="AO40" i="60" s="1"/>
  <c r="P8" i="60"/>
  <c r="AG36" i="60"/>
  <c r="AG40" i="60" s="1"/>
  <c r="H7" i="55"/>
  <c r="P37" i="60"/>
  <c r="F19" i="42"/>
  <c r="F21" i="42" s="1"/>
  <c r="AR9" i="60"/>
  <c r="AR13" i="60" s="1"/>
  <c r="AB36" i="60"/>
  <c r="AB40" i="60" s="1"/>
  <c r="D36" i="60"/>
  <c r="D40" i="60" s="1"/>
  <c r="AI9" i="60"/>
  <c r="AI13" i="60" s="1"/>
  <c r="AT9" i="60"/>
  <c r="AT13" i="60" s="1"/>
  <c r="H36" i="60"/>
  <c r="H40" i="60" s="1"/>
  <c r="P11" i="60"/>
  <c r="BO36" i="60"/>
  <c r="BO40" i="60" s="1"/>
  <c r="V9" i="60"/>
  <c r="V13" i="60" s="1"/>
  <c r="BN40" i="60"/>
  <c r="P6" i="60"/>
  <c r="O32" i="60"/>
  <c r="E36" i="60"/>
  <c r="E40" i="60" s="1"/>
  <c r="AJ36" i="60"/>
  <c r="AJ40" i="60" s="1"/>
  <c r="P10" i="60"/>
  <c r="G7" i="60"/>
  <c r="T12" i="60"/>
  <c r="E9" i="60"/>
  <c r="E13" i="60" s="1"/>
  <c r="H9" i="60"/>
  <c r="H13" i="60" s="1"/>
  <c r="M44" i="60"/>
  <c r="AE9" i="60"/>
  <c r="AE13" i="60" s="1"/>
  <c r="V44" i="60"/>
  <c r="J34" i="60"/>
  <c r="R44" i="60"/>
  <c r="AD34" i="60"/>
  <c r="AD32" i="60"/>
  <c r="AF34" i="60"/>
  <c r="M5" i="60"/>
  <c r="K36" i="60"/>
  <c r="K40" i="60" s="1"/>
  <c r="J9" i="60"/>
  <c r="J13" i="60" s="1"/>
  <c r="AL32" i="60"/>
  <c r="AL36" i="60" s="1"/>
  <c r="AL40" i="60" s="1"/>
  <c r="O38" i="60"/>
  <c r="P38" i="60" s="1"/>
  <c r="AO9" i="60"/>
  <c r="AO13" i="60" s="1"/>
  <c r="L9" i="60"/>
  <c r="L13" i="60" s="1"/>
  <c r="AK34" i="60"/>
  <c r="AK36" i="60" s="1"/>
  <c r="AK40" i="60" s="1"/>
  <c r="I7" i="60"/>
  <c r="AA36" i="60"/>
  <c r="AA40" i="60" s="1"/>
  <c r="K9" i="60"/>
  <c r="K13" i="60" s="1"/>
  <c r="AS32" i="60"/>
  <c r="AS36" i="60" s="1"/>
  <c r="AS40" i="60" s="1"/>
  <c r="AS9" i="60"/>
  <c r="AS13" i="60" s="1"/>
  <c r="V32" i="60"/>
  <c r="V36" i="60" s="1"/>
  <c r="V40" i="60" s="1"/>
  <c r="AD22" i="60"/>
  <c r="AD26" i="60" s="1"/>
  <c r="AC36" i="60"/>
  <c r="AC40" i="60" s="1"/>
  <c r="BX19" i="56"/>
  <c r="X19" i="56"/>
  <c r="C32" i="60"/>
  <c r="G5" i="60"/>
  <c r="Z8" i="60"/>
  <c r="Z35" i="60" s="1"/>
  <c r="G22" i="60"/>
  <c r="G26" i="60" s="1"/>
  <c r="AP34" i="60"/>
  <c r="AP36" i="60" s="1"/>
  <c r="AP40" i="60" s="1"/>
  <c r="AP22" i="60"/>
  <c r="AP26" i="60" s="1"/>
  <c r="AT20" i="60"/>
  <c r="AT22" i="60" s="1"/>
  <c r="AT26" i="60" s="1"/>
  <c r="AS22" i="60"/>
  <c r="AS26" i="60" s="1"/>
  <c r="AX34" i="60"/>
  <c r="AX36" i="60" s="1"/>
  <c r="AX40" i="60" s="1"/>
  <c r="AX9" i="60"/>
  <c r="AX13" i="60" s="1"/>
  <c r="BA22" i="60"/>
  <c r="BA26" i="60" s="1"/>
  <c r="BA32" i="60"/>
  <c r="AF22" i="60"/>
  <c r="AF26" i="60" s="1"/>
  <c r="AF32" i="60"/>
  <c r="Y25" i="46"/>
  <c r="AV21" i="60"/>
  <c r="AU22" i="60"/>
  <c r="AU26" i="60" s="1"/>
  <c r="AV37" i="60"/>
  <c r="AZ22" i="60"/>
  <c r="AZ26" i="60" s="1"/>
  <c r="P25" i="46"/>
  <c r="P22" i="51"/>
  <c r="BW19" i="56"/>
  <c r="W19" i="56"/>
  <c r="BU19" i="56"/>
  <c r="V7" i="46"/>
  <c r="W9" i="60"/>
  <c r="W13" i="60" s="1"/>
  <c r="X5" i="60"/>
  <c r="AM36" i="60"/>
  <c r="AM40" i="60" s="1"/>
  <c r="CT19" i="56"/>
  <c r="AW36" i="60"/>
  <c r="AW40" i="60" s="1"/>
  <c r="ES19" i="56"/>
  <c r="BB32" i="60"/>
  <c r="BG9" i="60"/>
  <c r="BG13" i="60" s="1"/>
  <c r="K44" i="60"/>
  <c r="R25" i="46"/>
  <c r="R22" i="51"/>
  <c r="S32" i="60"/>
  <c r="S9" i="60"/>
  <c r="S13" i="60" s="1"/>
  <c r="Y5" i="60"/>
  <c r="S34" i="60"/>
  <c r="T7" i="60"/>
  <c r="T34" i="60" s="1"/>
  <c r="T36" i="60" s="1"/>
  <c r="Y7" i="60"/>
  <c r="AA25" i="46"/>
  <c r="AN32" i="60"/>
  <c r="AN36" i="60" s="1"/>
  <c r="AN40" i="60" s="1"/>
  <c r="AN9" i="60"/>
  <c r="AN13" i="60" s="1"/>
  <c r="DT19" i="56"/>
  <c r="AR20" i="60"/>
  <c r="AQ32" i="60"/>
  <c r="AT39" i="60"/>
  <c r="BA34" i="60"/>
  <c r="BA9" i="60"/>
  <c r="BA13" i="60" s="1"/>
  <c r="BH32" i="60"/>
  <c r="BH36" i="60" s="1"/>
  <c r="BH40" i="60" s="1"/>
  <c r="BK22" i="60"/>
  <c r="BK26" i="60" s="1"/>
  <c r="AE36" i="60" l="1"/>
  <c r="AE40" i="60" s="1"/>
  <c r="BI36" i="60"/>
  <c r="BI40" i="60" s="1"/>
  <c r="BP36" i="60"/>
  <c r="BP40" i="60" s="1"/>
  <c r="AT32" i="60"/>
  <c r="AT36" i="60" s="1"/>
  <c r="AT40" i="60" s="1"/>
  <c r="U36" i="60"/>
  <c r="U40" i="60" s="1"/>
  <c r="BG36" i="60"/>
  <c r="BG40" i="60" s="1"/>
  <c r="AH25" i="46"/>
  <c r="BB36" i="60"/>
  <c r="BB40" i="60" s="1"/>
  <c r="AU36" i="60"/>
  <c r="AU40" i="60" s="1"/>
  <c r="AQ36" i="60"/>
  <c r="AQ40" i="60" s="1"/>
  <c r="U25" i="46"/>
  <c r="W22" i="51"/>
  <c r="X22" i="51"/>
  <c r="P44" i="60"/>
  <c r="AF36" i="60"/>
  <c r="AF40" i="60" s="1"/>
  <c r="O25" i="46"/>
  <c r="J36" i="60"/>
  <c r="J40" i="60" s="1"/>
  <c r="R36" i="60"/>
  <c r="R40" i="60" s="1"/>
  <c r="O36" i="60"/>
  <c r="O40" i="60" s="1"/>
  <c r="R9" i="60"/>
  <c r="R13" i="60" s="1"/>
  <c r="AD25" i="46"/>
  <c r="AD22" i="51"/>
  <c r="O9" i="60"/>
  <c r="O13" i="60" s="1"/>
  <c r="P5" i="60"/>
  <c r="X44" i="60"/>
  <c r="X33" i="60"/>
  <c r="Z6" i="60"/>
  <c r="Z44" i="60" s="1"/>
  <c r="AD36" i="60"/>
  <c r="AD40" i="60" s="1"/>
  <c r="G9" i="60"/>
  <c r="G13" i="60" s="1"/>
  <c r="P7" i="60"/>
  <c r="I34" i="60"/>
  <c r="P34" i="60" s="1"/>
  <c r="I9" i="60"/>
  <c r="I13" i="60" s="1"/>
  <c r="M9" i="60"/>
  <c r="M13" i="60" s="1"/>
  <c r="M32" i="60"/>
  <c r="Z12" i="60"/>
  <c r="Z39" i="60" s="1"/>
  <c r="T39" i="60"/>
  <c r="T40" i="60" s="1"/>
  <c r="X9" i="60"/>
  <c r="X13" i="60" s="1"/>
  <c r="X32" i="60"/>
  <c r="X36" i="60" s="1"/>
  <c r="X40" i="60" s="1"/>
  <c r="Y34" i="60"/>
  <c r="Z7" i="60"/>
  <c r="Z34" i="60" s="1"/>
  <c r="V22" i="51"/>
  <c r="V25" i="46"/>
  <c r="T9" i="60"/>
  <c r="T13" i="60" s="1"/>
  <c r="BA36" i="60"/>
  <c r="BA40" i="60" s="1"/>
  <c r="AR32" i="60"/>
  <c r="AR36" i="60" s="1"/>
  <c r="AR40" i="60" s="1"/>
  <c r="AR22" i="60"/>
  <c r="AR26" i="60" s="1"/>
  <c r="S36" i="60"/>
  <c r="S40" i="60" s="1"/>
  <c r="AV34" i="60"/>
  <c r="AV36" i="60" s="1"/>
  <c r="AV40" i="60" s="1"/>
  <c r="AV22" i="60"/>
  <c r="AV26" i="60" s="1"/>
  <c r="Y32" i="60"/>
  <c r="Z5" i="60"/>
  <c r="Y9" i="60"/>
  <c r="Y13" i="60" s="1"/>
  <c r="G32" i="60"/>
  <c r="G36" i="60" s="1"/>
  <c r="G40" i="60" s="1"/>
  <c r="C36" i="60"/>
  <c r="C40" i="60" s="1"/>
  <c r="Z33" i="60" l="1"/>
  <c r="P9" i="60"/>
  <c r="P13" i="60" s="1"/>
  <c r="I36" i="60"/>
  <c r="I40" i="60" s="1"/>
  <c r="Y36" i="60"/>
  <c r="Y40" i="60" s="1"/>
  <c r="P32" i="60"/>
  <c r="P36" i="60" s="1"/>
  <c r="P40" i="60" s="1"/>
  <c r="M36" i="60"/>
  <c r="M40" i="60" s="1"/>
  <c r="Z9" i="60"/>
  <c r="Z13" i="60" s="1"/>
  <c r="Z32" i="60"/>
  <c r="Z36" i="60" s="1"/>
  <c r="Z40" i="60" s="1"/>
  <c r="N70" i="73" l="1"/>
  <c r="H14" i="115"/>
  <c r="N69" i="73" l="1"/>
  <c r="H12" i="20"/>
  <c r="H10" i="115" l="1"/>
  <c r="E12" i="52"/>
  <c r="H11" i="115" l="1"/>
  <c r="E8" i="115"/>
  <c r="E13" i="52"/>
  <c r="H15" i="115" l="1"/>
  <c r="H13" i="115"/>
  <c r="H16" i="115" s="1"/>
  <c r="E12" i="117"/>
  <c r="E12" i="20"/>
  <c r="E6" i="115"/>
  <c r="E7" i="115" l="1"/>
  <c r="E12" i="71"/>
  <c r="E12" i="116"/>
  <c r="E14" i="116" s="1"/>
  <c r="E13" i="20"/>
  <c r="E13" i="71" l="1"/>
  <c r="E5" i="115" l="1"/>
  <c r="E4" i="115" s="1"/>
  <c r="E11" i="115" s="1"/>
  <c r="E15" i="116"/>
  <c r="E15" i="115" l="1"/>
  <c r="E13" i="115"/>
  <c r="E16" i="115" s="1"/>
  <c r="J12" i="71" l="1"/>
  <c r="J7" i="115"/>
  <c r="J12" i="20" l="1"/>
  <c r="J13" i="71"/>
  <c r="J12" i="117" l="1"/>
  <c r="J14" i="117" s="1"/>
  <c r="J12" i="52"/>
  <c r="J13" i="20"/>
  <c r="J12" i="116"/>
  <c r="J8" i="115"/>
  <c r="J14" i="116" l="1"/>
  <c r="J13" i="52"/>
  <c r="J15" i="117" l="1"/>
  <c r="J5" i="115" l="1"/>
  <c r="J4" i="115" s="1"/>
  <c r="J11" i="115" s="1"/>
  <c r="J15" i="116"/>
  <c r="J13" i="115" l="1"/>
  <c r="J16" i="115" s="1"/>
  <c r="J15" i="115"/>
  <c r="J3" i="115"/>
  <c r="J20" i="115" l="1"/>
  <c r="J19" i="115" l="1"/>
  <c r="J17" i="115" l="1"/>
  <c r="J22" i="115" l="1"/>
  <c r="J21" i="115"/>
  <c r="E17" i="115" l="1"/>
  <c r="C6" i="115" l="1"/>
  <c r="C4" i="115" s="1"/>
  <c r="C11" i="115" l="1"/>
  <c r="C15" i="115" s="1"/>
  <c r="C13" i="115" l="1"/>
  <c r="C16" i="115" s="1"/>
  <c r="F12" i="52" l="1"/>
  <c r="F8" i="115" l="1"/>
  <c r="F13" i="52"/>
  <c r="F12" i="117" l="1"/>
  <c r="F12" i="20"/>
  <c r="F13" i="20" l="1"/>
  <c r="F7" i="115"/>
  <c r="F12" i="71"/>
  <c r="F12" i="116"/>
  <c r="F14" i="116" s="1"/>
  <c r="F6" i="115"/>
  <c r="F15" i="117"/>
  <c r="F5" i="115" l="1"/>
  <c r="F4" i="115" s="1"/>
  <c r="F11" i="115" s="1"/>
  <c r="F13" i="71"/>
  <c r="F13" i="115" l="1"/>
  <c r="F16" i="115" s="1"/>
  <c r="F15" i="115"/>
  <c r="F15" i="116"/>
  <c r="K12" i="71" l="1"/>
  <c r="K7" i="115"/>
  <c r="K12" i="20" l="1"/>
  <c r="K13" i="71"/>
  <c r="K13" i="20" l="1"/>
  <c r="K12" i="52" l="1"/>
  <c r="K8" i="115" l="1"/>
  <c r="K12" i="117" l="1"/>
  <c r="K14" i="117" s="1"/>
  <c r="K6" i="115"/>
  <c r="K13" i="52"/>
  <c r="K12" i="116"/>
  <c r="K14" i="116" s="1"/>
  <c r="K15" i="117" l="1"/>
  <c r="K5" i="115" l="1"/>
  <c r="K4" i="115" s="1"/>
  <c r="K11" i="115" s="1"/>
  <c r="K15" i="116"/>
  <c r="K13" i="115" l="1"/>
  <c r="K16" i="115" s="1"/>
  <c r="K15" i="1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Agnieszka Dłużniewska</author>
  </authors>
  <commentList>
    <comment ref="EE23" authorId="0" shapeId="0" xr:uid="{00000000-0006-0000-1200-000001000000}">
      <text>
        <r>
          <rPr>
            <b/>
            <sz val="9"/>
            <color indexed="81"/>
            <rFont val="Tahoma"/>
            <family val="2"/>
            <charset val="238"/>
          </rPr>
          <t>Agnieszka Dłużniewska:</t>
        </r>
        <r>
          <rPr>
            <sz val="9"/>
            <color indexed="81"/>
            <rFont val="Tahoma"/>
            <family val="2"/>
            <charset val="238"/>
          </rPr>
          <t xml:space="preserve">
CDU Litvinov miał 75 dni postoju, nastąpiło zejście z zapasu </t>
        </r>
      </text>
    </comment>
  </commentList>
</comments>
</file>

<file path=xl/sharedStrings.xml><?xml version="1.0" encoding="utf-8"?>
<sst xmlns="http://schemas.openxmlformats.org/spreadsheetml/2006/main" count="9037" uniqueCount="2013">
  <si>
    <t>Aktywa finansowe dostępne do sprzedaży</t>
  </si>
  <si>
    <t>Wpływy z otrzymanych kredytów i pożyczek</t>
  </si>
  <si>
    <t>Spłaty kredytów i pożyczek</t>
  </si>
  <si>
    <t>Odsetki netto</t>
  </si>
  <si>
    <t>Podatek dochodowy (zapłacony)</t>
  </si>
  <si>
    <t>Zmiana stanu środków pieniężnych i ich ekwiwalentów z tytułu różnic kursowych</t>
  </si>
  <si>
    <t>Środki pieniężne i ich ekwiwalenty na koniec okresu</t>
  </si>
  <si>
    <t>Waluta</t>
  </si>
  <si>
    <t>Segment Detal</t>
  </si>
  <si>
    <t>Segment Petrochemia</t>
  </si>
  <si>
    <t>Polska</t>
  </si>
  <si>
    <t>Benzyny</t>
  </si>
  <si>
    <t>ON</t>
  </si>
  <si>
    <t>Litwa</t>
  </si>
  <si>
    <t>Czechy</t>
  </si>
  <si>
    <t>Niemcy</t>
  </si>
  <si>
    <t>Wyszczególnienie</t>
  </si>
  <si>
    <t>Pozostałe aktywa finansowe</t>
  </si>
  <si>
    <t>Sprzedaż
tys. ton</t>
  </si>
  <si>
    <t>Dywidendy</t>
  </si>
  <si>
    <t>Pozostałe przychody/koszty operacyjne netto</t>
  </si>
  <si>
    <t xml:space="preserve">Zysk/(Strata) netto </t>
  </si>
  <si>
    <t>Zyski zatrzymane</t>
  </si>
  <si>
    <t>Aktywa z tytułu podatku odroczonego</t>
  </si>
  <si>
    <t>Udział w wyniku finansowym jednostek wycenianych metodą praw własności</t>
  </si>
  <si>
    <t>LIFO</t>
  </si>
  <si>
    <t>Dywidendy otrzymane</t>
  </si>
  <si>
    <t xml:space="preserve">Zmiana stanu rezerw </t>
  </si>
  <si>
    <t>Odsetki otrzymane</t>
  </si>
  <si>
    <t>akcjonariuszy jednostki dominującej</t>
  </si>
  <si>
    <t>Sprzedaż papierów wartościowych i depozytów</t>
  </si>
  <si>
    <t>Etylen</t>
  </si>
  <si>
    <t>Propylen</t>
  </si>
  <si>
    <t>Sprzedaż zewnętrzna</t>
  </si>
  <si>
    <t>Sprzedaż między segmentami</t>
  </si>
  <si>
    <t>Pozostałe przychody operacyjne</t>
  </si>
  <si>
    <t>Zysk brutto ze sprzedaży</t>
  </si>
  <si>
    <t>Koszty sprzedaży</t>
  </si>
  <si>
    <t>Koszty ogólnego zarządu</t>
  </si>
  <si>
    <t>Pozostałe koszty operacyjne</t>
  </si>
  <si>
    <t>Przychody finansowe</t>
  </si>
  <si>
    <t>Przychody i koszty finansowe netto</t>
  </si>
  <si>
    <t>Należności z tytułu dostaw i usług oraz pozostałe należności</t>
  </si>
  <si>
    <t>Należności z tytułu podatku dochodowego</t>
  </si>
  <si>
    <t xml:space="preserve">Kapitał z tytułu stosowania rachunkowości zabezpieczeń </t>
  </si>
  <si>
    <t xml:space="preserve">Rezerwy </t>
  </si>
  <si>
    <t>Przepływy pieniężne z działalności inwestycyjnej</t>
  </si>
  <si>
    <t>Pozostałe</t>
  </si>
  <si>
    <t>Przepływy pieniężne z działalności finansowej</t>
  </si>
  <si>
    <t>Lekki olej opałowy</t>
  </si>
  <si>
    <t>Rafineria</t>
  </si>
  <si>
    <t>Butadien</t>
  </si>
  <si>
    <t>Petrochemia</t>
  </si>
  <si>
    <t>Detal</t>
  </si>
  <si>
    <t>CK</t>
  </si>
  <si>
    <t>Total</t>
  </si>
  <si>
    <t>RAZEM</t>
  </si>
  <si>
    <t>Przychody ze sprzedaży</t>
  </si>
  <si>
    <t>Suma składników innych całkowitych dochodów</t>
  </si>
  <si>
    <t>Koszty finansowe</t>
  </si>
  <si>
    <t>Kapitał z aktualizacji wyceny</t>
  </si>
  <si>
    <t>Podatek dochodowy</t>
  </si>
  <si>
    <t>AKTYWA</t>
  </si>
  <si>
    <t>Rzeczowe aktywa trwałe</t>
  </si>
  <si>
    <t>Wartości niematerialne</t>
  </si>
  <si>
    <t>Aktywa obrotowe</t>
  </si>
  <si>
    <t>Zapasy</t>
  </si>
  <si>
    <t>Aktywa razem</t>
  </si>
  <si>
    <t>PASYWA</t>
  </si>
  <si>
    <t>Kapitał z emisji akcji powyżej ich wartości nominalnej</t>
  </si>
  <si>
    <t>Nabycie papierów wartościowych i depozytów</t>
  </si>
  <si>
    <t>Sprzedaż akcji i udziałów</t>
  </si>
  <si>
    <t>Różnice kursowe z przeliczenia jednostek podporządkowanych</t>
  </si>
  <si>
    <t>Kapitał własny razem</t>
  </si>
  <si>
    <t>Zobowiązania długoterminowe</t>
  </si>
  <si>
    <t>Rezerwy</t>
  </si>
  <si>
    <t>Zobowiązania krótkoterminowe</t>
  </si>
  <si>
    <t>Przychody przyszłych okresów</t>
  </si>
  <si>
    <t>Pozostałe zobowiązania finansowe</t>
  </si>
  <si>
    <t>Pasywa razem</t>
  </si>
  <si>
    <t>Przepływy pieniężne z działalności operacyjnej</t>
  </si>
  <si>
    <t>Kapitał podstawowy</t>
  </si>
  <si>
    <t>Kapitał własny przypadający udziałom niekontrolującym</t>
  </si>
  <si>
    <t>Zobowiązania z tytułu dostaw i usług oraz pozostałe zobowiązania</t>
  </si>
  <si>
    <t>Koszt własny sprzedaży</t>
  </si>
  <si>
    <t>Całkowite dochody netto</t>
  </si>
  <si>
    <t>akcjonariuszy/udziałowców niekontrolujących</t>
  </si>
  <si>
    <t>Nieruchomości inwestycyjne</t>
  </si>
  <si>
    <t>Aktywa trwałe przeznaczone do sprzedaży</t>
  </si>
  <si>
    <t>PTA</t>
  </si>
  <si>
    <t>Korekty o pozycje:</t>
  </si>
  <si>
    <t>Amortyzacja</t>
  </si>
  <si>
    <t>Pozostałe korekty</t>
  </si>
  <si>
    <t>Wykup dłużnych papierów wartościowych</t>
  </si>
  <si>
    <t>LPG</t>
  </si>
  <si>
    <t>Benzen</t>
  </si>
  <si>
    <t>Paraksylen</t>
  </si>
  <si>
    <t>Toluen</t>
  </si>
  <si>
    <t>Benzyna</t>
  </si>
  <si>
    <t>Ciężki olej opałowy</t>
  </si>
  <si>
    <t>Sprzedaż produktów (tys. ton)</t>
  </si>
  <si>
    <t>Jet A-1</t>
  </si>
  <si>
    <t>IV kw. 2013</t>
  </si>
  <si>
    <t>Aktywa trwałe</t>
  </si>
  <si>
    <t>Prawa wieczystego użytkowania gruntów</t>
  </si>
  <si>
    <t>Środki pieniężne i ich ekwiwalenty</t>
  </si>
  <si>
    <t>KAPITAŁ WŁASNY</t>
  </si>
  <si>
    <t>Kapitał własny przypadający na akcjonariuszy jednostki dominującej</t>
  </si>
  <si>
    <t>ZOBOWIĄZANIA</t>
  </si>
  <si>
    <t>Kredyty, pożyczki i dłużne papiery wartościowe</t>
  </si>
  <si>
    <t>Zobowiązania bezpośrednio związane z aktywami zaklasyfikowanymi jako przeznaczone do sprzedaży</t>
  </si>
  <si>
    <t>Zobowiązania razem</t>
  </si>
  <si>
    <t>Zmiana stanu kapitału pracującego</t>
  </si>
  <si>
    <t>zapasy</t>
  </si>
  <si>
    <t>należności</t>
  </si>
  <si>
    <t>zobowiązania</t>
  </si>
  <si>
    <t>Ropa naftowa Brent (USD/bbl)</t>
  </si>
  <si>
    <t xml:space="preserve">Marże (crack) z notowań </t>
  </si>
  <si>
    <t>Kraje, 
tys. ton</t>
  </si>
  <si>
    <t>Zysk/(Strata) operacyjna powiększona o amortyzację (EBITDA)</t>
  </si>
  <si>
    <t>GK ORLEN - razem</t>
  </si>
  <si>
    <t>Płatności  zobowiązań  z  tytułu  umów  leasingu  finansowego</t>
  </si>
  <si>
    <t>Środki  pieniężne i ich  ekwiwalenty  na  początek  okresu</t>
  </si>
  <si>
    <t>Segment Wydobycie</t>
  </si>
  <si>
    <t>(Zysk)/Strata z tytułu różnic kursowych</t>
  </si>
  <si>
    <t>Zysk/(Strata) przed opodatkowaniem</t>
  </si>
  <si>
    <t>Zysk/(Strata) netto</t>
  </si>
  <si>
    <t>Dywidendy wypłacone</t>
  </si>
  <si>
    <t>Całkowite dochody netto przypadające na</t>
  </si>
  <si>
    <t>Zysk/(Strata) z działalności operacyjnej</t>
  </si>
  <si>
    <t>Zysk/(Strata) netto przypadający na</t>
  </si>
  <si>
    <t>Zysk/(Strata) netto i rozwodniony zysk/(strata) netto na jedną akcję przypadający akcjonariuszom jednostki dominującej (w PLN na akcję)</t>
  </si>
  <si>
    <t xml:space="preserve">Odsetki zapłacone </t>
  </si>
  <si>
    <t>USD/PLN</t>
  </si>
  <si>
    <t>EUR/PLN</t>
  </si>
  <si>
    <t>CZK/PLN</t>
  </si>
  <si>
    <t>USD/LTL</t>
  </si>
  <si>
    <t>EUR/LTL</t>
  </si>
  <si>
    <t>USD/CZK</t>
  </si>
  <si>
    <t>EUR/CZK</t>
  </si>
  <si>
    <t>Udział w wyniku finansowym jednostek 
wycenianych metodą praw własności</t>
  </si>
  <si>
    <t>Zobowiązania z tytułu podatku odroczonego</t>
  </si>
  <si>
    <t>31.03.2014</t>
  </si>
  <si>
    <t>IV kw. 2014</t>
  </si>
  <si>
    <t>(Zysk)/Strata na działalności inwestycyjnej</t>
  </si>
  <si>
    <t>Środki pieniężne netto z/(wykorzystane w) działalności finansowej</t>
  </si>
  <si>
    <t>30.06.2014</t>
  </si>
  <si>
    <t>Segment Downstream</t>
  </si>
  <si>
    <t>Zysk/(Strata) operacyjna powiększona o amortyzację (EBITDA) przed odpisami aktualizującymi</t>
  </si>
  <si>
    <t>Ropa WTI (USD/bbl)</t>
  </si>
  <si>
    <t>SN 150</t>
  </si>
  <si>
    <t>CAD/PLN</t>
  </si>
  <si>
    <t>CAD/USD</t>
  </si>
  <si>
    <t>Ropa Canadian Light Sweet (USD/bbl)</t>
  </si>
  <si>
    <t>Depozyty netto</t>
  </si>
  <si>
    <t>30.09.2014</t>
  </si>
  <si>
    <t>Nabycie składników rzeczowego majątku trwałego, 
wartości niematerialnych i praw wieczystego użytkowania gruntów</t>
  </si>
  <si>
    <t>Sprzedaż składników rzeczowego majątku trwałego, 
wartości niematerialnych i praw wieczystego użytkowania gruntów</t>
  </si>
  <si>
    <t>31.12.2014</t>
  </si>
  <si>
    <t>Otrzymane dotacje</t>
  </si>
  <si>
    <t>IV kw.
2013</t>
  </si>
  <si>
    <t>Wyszczególnienie, 
mln PLN</t>
  </si>
  <si>
    <t>I kw.
2014</t>
  </si>
  <si>
    <t>31.03.2015</t>
  </si>
  <si>
    <t>II kw.
2014</t>
  </si>
  <si>
    <t>III kw.
2014</t>
  </si>
  <si>
    <t>IV kw.
2014</t>
  </si>
  <si>
    <t>I kw.
2015</t>
  </si>
  <si>
    <t>Środki pieniężne netto z/(wykorzystane w) działalności operacyjnej</t>
  </si>
  <si>
    <t>IV kw. 2015</t>
  </si>
  <si>
    <t>Środki pieniężne netto z (wykorzystane w) działalności inwestycyjnej</t>
  </si>
  <si>
    <t>Zysk operacyjny powiększony o amortyzację (EBITDA)</t>
  </si>
  <si>
    <t>Lekkie destylaty
[benzyna, LPG]</t>
  </si>
  <si>
    <t>Średnie destylaty
[olej napędowy, lekki olej opałowy, paliwo lotnicze]</t>
  </si>
  <si>
    <t>Frakcje ciężkie 
[ciężki olej opałowy, asfalt, oleje]</t>
  </si>
  <si>
    <t>Monomery
[etylen, propylen]</t>
  </si>
  <si>
    <t>Polimery
[polietylen, polipropylen]</t>
  </si>
  <si>
    <t>Aromaty
[benzen, toluen, paraksylen, ortoksylen]</t>
  </si>
  <si>
    <t>Nawozy sztuczne
[CANWIL, siarczan amonu, saletra amonowa, pozostałe nawozy]</t>
  </si>
  <si>
    <t>Tworzywa sztuczne
[PCW, granulat PCW]</t>
  </si>
  <si>
    <t>Średnie destylaty
[olej napędowy, lekki olej opałowy]</t>
  </si>
  <si>
    <t>I kw.
2013</t>
  </si>
  <si>
    <t>II kw.
2013</t>
  </si>
  <si>
    <t>III kw.
2013</t>
  </si>
  <si>
    <t>12 m-cy
2013</t>
  </si>
  <si>
    <t>12 m-cy
2014</t>
  </si>
  <si>
    <t>II kw.
2015</t>
  </si>
  <si>
    <t>III kw.
2015</t>
  </si>
  <si>
    <t>IV kw.
2015</t>
  </si>
  <si>
    <t>12 m-cy
2015</t>
  </si>
  <si>
    <t>bd</t>
  </si>
  <si>
    <t>31.12.2013 *</t>
  </si>
  <si>
    <t>31.03.2013 *</t>
  </si>
  <si>
    <t>30.06.2013 *</t>
  </si>
  <si>
    <t>30.09.2013 *</t>
  </si>
  <si>
    <t>30.06.2015</t>
  </si>
  <si>
    <t>Wpływy/Wydatki z tytułu udzielonych pożyczek</t>
  </si>
  <si>
    <t>*) Dane przekształcone – zmiana metody konsolidacji spółek Basell ORLEN Polyolefines Sp. z o.o. i Płocki Park Przemysłowo-Technologiczny S.A. zgodnie z MSSF 11.</t>
  </si>
  <si>
    <t>I kw.
2013 *</t>
  </si>
  <si>
    <t>II kw.
2013 *</t>
  </si>
  <si>
    <t>III kw.
2013 *</t>
  </si>
  <si>
    <t>IV kw.
2013 *</t>
  </si>
  <si>
    <t>12 m-cy
2013 *</t>
  </si>
  <si>
    <t>30.09.2015</t>
  </si>
  <si>
    <t>31.12.2015</t>
  </si>
  <si>
    <t>efekt LIFO (Rafineria)</t>
  </si>
  <si>
    <t xml:space="preserve">Petrochemia </t>
  </si>
  <si>
    <t>efekt LIFO (Petrochemia)</t>
  </si>
  <si>
    <t xml:space="preserve">Downstream </t>
  </si>
  <si>
    <t xml:space="preserve">Detal </t>
  </si>
  <si>
    <t xml:space="preserve">Wydobycie </t>
  </si>
  <si>
    <t>EBITDA LIFO</t>
  </si>
  <si>
    <t>1) odpis z tytułu utraty wartości aktywów zgodnie z MSR 36</t>
  </si>
  <si>
    <t>Kluczowe dane finansowe
[mln PLN]</t>
  </si>
  <si>
    <t xml:space="preserve">  Downstream</t>
  </si>
  <si>
    <t xml:space="preserve">  Detal</t>
  </si>
  <si>
    <t xml:space="preserve">  Wydobycie</t>
  </si>
  <si>
    <t>Zysk/(Strata) z działalności operacyjnej wg LIFO powiększona o amortyzację (EBITDA LIFO), w tym:</t>
  </si>
  <si>
    <t>Grupa Unipetrol</t>
  </si>
  <si>
    <t>Grupa ORLEN Lietuva</t>
  </si>
  <si>
    <t>Zysk/(Strata) z działalności operacyjnej powiększona o amortyzację (EBITDA)</t>
  </si>
  <si>
    <t>Amortyzacja, w tym:</t>
  </si>
  <si>
    <t>Zysk/(Strata) z działalności operacyjnej wg LIFO (EBIT LIFO), w tym:</t>
  </si>
  <si>
    <t>Zysk/(Strata) z działalności operacyjnej (EBIT)</t>
  </si>
  <si>
    <t>Zysk/(Strata) akcjonariuszy Jednostki Dominującej</t>
  </si>
  <si>
    <t>Kapitał własny</t>
  </si>
  <si>
    <t>Dług netto</t>
  </si>
  <si>
    <t>Środki pieniężne netto z działalności operacyjnej</t>
  </si>
  <si>
    <t>Środki pieniężne netto z działalności inwestycyjnej</t>
  </si>
  <si>
    <t>Zysk/(Strata) netto akcjonariuszy Jednostki Dominującej na jedną akcję (EPS) [PLN/akcję]</t>
  </si>
  <si>
    <t>Wpływ wyceny zapasów wg LIFO
 [mln PLN]</t>
  </si>
  <si>
    <t>Wpływ wyceny zapasów wg LIFO na poziom EBITDA, w tym:</t>
  </si>
  <si>
    <r>
      <t>N/D</t>
    </r>
    <r>
      <rPr>
        <b/>
        <vertAlign val="superscript"/>
        <sz val="10"/>
        <rFont val="Arial"/>
        <family val="2"/>
        <charset val="238"/>
      </rPr>
      <t>5</t>
    </r>
  </si>
  <si>
    <t>1) Zawiera Funkcje Korporacyjne spółek Grupy ORLEN oraz spółki nieujęte w powyższych segmentach.</t>
  </si>
  <si>
    <t>2) ROACE = zysk operacyjny z ostatnich czterech kwartałów po opodatkowaniu przed odpisem aktualizującym wartość aktywów trwałych / średni kapitał zaangażowany (kapitał własny + dług netto) z ostatnich czterech kwartałów.</t>
  </si>
  <si>
    <t>3) ROACE LIFO = zysk operacyjny z ostatnich czterech kwartałów wg LIFO po opodatkowaniu przed odpisem aktualizującym wartość aktywów trwałych / średni kapitał zaangażowany (kapitał własny + dług netto) z ostatnich czterech kwartałów.</t>
  </si>
  <si>
    <t>4) Dźwignia finansowa netto = dług netto / kapitał własny - wyliczone wg stanu na koniec okresu.</t>
  </si>
  <si>
    <t>5) Kowenant badany zgodnie z zapisami umów kredytowych bez uwzględnienia odpisów aktualizujących aktywów trwałych.</t>
  </si>
  <si>
    <t>6) Dług (odsetkowy) pomniejszony o środki pieniężne i ich ekwiwalenty na koniec okresu / EBITDA wg LIFO z ostatnich czterech kwartałów.</t>
  </si>
  <si>
    <t>7) Dług (odsetkowy) pomniejszony o środki pieniężne i ich ekwiwalenty na koniec okresu / EBITDA z ostatnich czterech kwartałów.</t>
  </si>
  <si>
    <t>Produkcja
tys. ton</t>
  </si>
  <si>
    <t>Rok 2014</t>
  </si>
  <si>
    <t>Segment 
Downstream</t>
  </si>
  <si>
    <t>GK 
ORLEN</t>
  </si>
  <si>
    <t>PKN ORLEN 
S.A.</t>
  </si>
  <si>
    <t>Grupa 
Unipetrol</t>
  </si>
  <si>
    <t>ORLEN 
Lietuva</t>
  </si>
  <si>
    <t>Grupa 
Anwil</t>
  </si>
  <si>
    <t>Przerób ropy</t>
  </si>
  <si>
    <t>-</t>
  </si>
  <si>
    <t>Produkcja razem</t>
  </si>
  <si>
    <t>Podatek dochodowy od zysku/(straty) przed opodatkowaniem</t>
  </si>
  <si>
    <t>Nabycie akcji i udziałów skorygowane o przejęte środki pieniężne</t>
  </si>
  <si>
    <t>Zwiększenie/(Zmniejszenie) netto stanu środków pieniężnych i ich ekwiwalentów</t>
  </si>
  <si>
    <t>Rok 2013 *</t>
  </si>
  <si>
    <t>Zysk/(Strata) operacyjna wg LIFO (EBIT LIFO) przed odpisami aktualizującymi</t>
  </si>
  <si>
    <t>Zysk/(Strata) operacyjna wg LIFO (EBIT LIFO)</t>
  </si>
  <si>
    <t>Zysk/(Strata) operacyjna (EBIT)</t>
  </si>
  <si>
    <t>Zysk/(Strata) operacyjna (EBIT) przed odpisami aktualizującymi</t>
  </si>
  <si>
    <t>Zysk/(Strata) operacyjna wg LIFO powiększona o amortyzację 
(EBITDA LIFO)</t>
  </si>
  <si>
    <t>Zysk/(Strata) operacyjna wg LIFO powiększona o amortyzację 
(EBITDA LIFO) przed odpisami aktualizującymi</t>
  </si>
  <si>
    <t>Kluczowe dane finansowe</t>
  </si>
  <si>
    <t>Parametry makroekonomiczne</t>
  </si>
  <si>
    <t>Kursy walutowe</t>
  </si>
  <si>
    <t>Funkcje Korporacyjne</t>
  </si>
  <si>
    <t>Skonsolidowane sprawozdanie z zysków lub strat i innych całkowitych dochodów</t>
  </si>
  <si>
    <t>Skonsolidowane sprawozdanie z sytuacji finansowej</t>
  </si>
  <si>
    <t>Skonsolidowane sprawozdanie z przepływów pieniężnych</t>
  </si>
  <si>
    <t>Produkcja wolumenowa</t>
  </si>
  <si>
    <t>Sprzedaż wolumenowa</t>
  </si>
  <si>
    <t>Odpisy</t>
  </si>
  <si>
    <t>Wydobycie</t>
  </si>
  <si>
    <t>EBIT LIFO</t>
  </si>
  <si>
    <t>Emisja obligacji</t>
  </si>
  <si>
    <t>I kw.
2016</t>
  </si>
  <si>
    <t>II kw.
2016</t>
  </si>
  <si>
    <t>III kw.
2016</t>
  </si>
  <si>
    <t>IV kw.
2016</t>
  </si>
  <si>
    <t>12 m-cy
2016</t>
  </si>
  <si>
    <t>IV kw. 2016</t>
  </si>
  <si>
    <t>31.03.2016</t>
  </si>
  <si>
    <t>30.06.2016</t>
  </si>
  <si>
    <t>30.09.2016</t>
  </si>
  <si>
    <t>31.12.2016</t>
  </si>
  <si>
    <t>Zysk przed opodatkowaniem</t>
  </si>
  <si>
    <t>Sprzedaż jednostki podporządkowanej</t>
  </si>
  <si>
    <t>Rok 2015</t>
  </si>
  <si>
    <t>wycena nieruchomości inwestycyjnej do wartości godziwej na moment przeklasyfikowania</t>
  </si>
  <si>
    <t>zyski i straty aktuarialne</t>
  </si>
  <si>
    <t>podatek odroczony</t>
  </si>
  <si>
    <t>instrumenty zabezpieczające</t>
  </si>
  <si>
    <t>które zostały lub zostaną przeklasyfikowane na zyski lub straty</t>
  </si>
  <si>
    <t>Inwestycje wyceniane metodą praw własności</t>
  </si>
  <si>
    <t>Kredyty, pożyczki i obligacje</t>
  </si>
  <si>
    <t>Środki pieniężne netto z/(wykorzystane w) działalności inwestycyjnej</t>
  </si>
  <si>
    <t>Pozostałe aktywa</t>
  </si>
  <si>
    <t>Kredyty i pożyczki</t>
  </si>
  <si>
    <t>akcjonariuszom jednostki dominującej</t>
  </si>
  <si>
    <t xml:space="preserve">akcjonariuszom niekontrolującym </t>
  </si>
  <si>
    <t>Środki pieniężne i ich ekwiwalenty na początek okresu</t>
  </si>
  <si>
    <t>Rok 2016</t>
  </si>
  <si>
    <t>I kw.
2017</t>
  </si>
  <si>
    <t>II kw.
2017</t>
  </si>
  <si>
    <t>III kw.
2017</t>
  </si>
  <si>
    <t>IV kw.
2017</t>
  </si>
  <si>
    <t>12 m-cy
2017</t>
  </si>
  <si>
    <t>IV kw. 2017</t>
  </si>
  <si>
    <t>31.03.2017</t>
  </si>
  <si>
    <t>30.09.2017</t>
  </si>
  <si>
    <t>31.12.2017</t>
  </si>
  <si>
    <t>Rok 2017</t>
  </si>
  <si>
    <t>które nie zostaną przeklasyfikowane na zyski lub straty</t>
  </si>
  <si>
    <t>różnice kursowe z przeliczenia jednostek działających za granicą</t>
  </si>
  <si>
    <t>Różnice kursowe z przeliczenia jednostek działających za granicą</t>
  </si>
  <si>
    <t>Pozostałe zobowiązania</t>
  </si>
  <si>
    <t>Zobowiązania z tytułu podatku dochodowego</t>
  </si>
  <si>
    <t>Koszty operacyjne ogółem</t>
  </si>
  <si>
    <t>30.06.2017</t>
  </si>
  <si>
    <t>Wykup obligacji</t>
  </si>
  <si>
    <t>zmiana stanu rozrachunków z tytułu odszkodowań od ubezpieczycieli w Grupie Unipetrol</t>
  </si>
  <si>
    <t>Pozostałe korekty, w tym:</t>
  </si>
  <si>
    <t>Składniki innych całkowitych dochodów:</t>
  </si>
  <si>
    <t>Rozliczenie instrumentów pochodnych niewyznaczonych dla celów rachunkowości zabezpieczeń</t>
  </si>
  <si>
    <t>nieodpłatnie otrzymane prawa majątkowe</t>
  </si>
  <si>
    <t>utworzenie/(odwrócenie) odpisów aktualizujących wartość rzeczowych aktywów trwałych i wartości niematerialnych</t>
  </si>
  <si>
    <t>(Zysk)/Strata na działalności inwestycyjnej, w tym:</t>
  </si>
  <si>
    <t>I kw.
2018</t>
  </si>
  <si>
    <t>II kw.
2018</t>
  </si>
  <si>
    <t>III kw.
2018</t>
  </si>
  <si>
    <t>IV kw.
2018</t>
  </si>
  <si>
    <t>12 m-cy
2018</t>
  </si>
  <si>
    <t>IV kw. 2018</t>
  </si>
  <si>
    <t>przychody ze sprzedaży produktów i usług</t>
  </si>
  <si>
    <t>przychody ze sprzedaży towarów i materiałów</t>
  </si>
  <si>
    <t>koszt wytworzenia sprzedanych produktów i usług</t>
  </si>
  <si>
    <t>wartość sprzedanych towarów i materiałów</t>
  </si>
  <si>
    <t>podatek dochodowy bieżący</t>
  </si>
  <si>
    <t>Inne całkowite dochody:</t>
  </si>
  <si>
    <t>które nie zostaną następnie przeklasyfikowane na zyski lub straty</t>
  </si>
  <si>
    <t>zyski/(straty) z tytułu inwestycji w instrumenty kapitałowe wyceniane w wartości godziwej przez inne całkowite dochody</t>
  </si>
  <si>
    <t>które zostaną przeklasyfikowane na zyski lub straty</t>
  </si>
  <si>
    <t>Instrumenty pochodne</t>
  </si>
  <si>
    <t>Zobowiązania z tytułu umów z klientami</t>
  </si>
  <si>
    <t>31.03.2018</t>
  </si>
  <si>
    <t>Strata/odwrócenie straty z tytułu utraty wartości instrumentów finansowych</t>
  </si>
  <si>
    <t>Nabycie akcji</t>
  </si>
  <si>
    <t xml:space="preserve">Strata/odwrócenie straty z tytułu utraty wartości instrumentów finansowych </t>
  </si>
  <si>
    <t>30.06.2018</t>
  </si>
  <si>
    <t>30.09.2018</t>
  </si>
  <si>
    <t>31.12.2018</t>
  </si>
  <si>
    <t>koszty zabezpieczenia</t>
  </si>
  <si>
    <t>Wykup akcji niekontrolujących Unipetrol a.s.</t>
  </si>
  <si>
    <t>Rok 2018</t>
  </si>
  <si>
    <t>IV kw.
2018 **</t>
  </si>
  <si>
    <t>12 m-cy
2018 **</t>
  </si>
  <si>
    <t>IV kw.
2018 *</t>
  </si>
  <si>
    <t>12 m-cy
2018 *</t>
  </si>
  <si>
    <t>utworzenie/(odwrócenie) odpisów aktualizujących wartość rzeczowych aktywów trwałych, wartości niematerialnych i pozostałych składników majątku trwałego</t>
  </si>
  <si>
    <t>2)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t>
  </si>
  <si>
    <t>***)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t>
  </si>
  <si>
    <t>**)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t>
  </si>
  <si>
    <t>*)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t>
  </si>
  <si>
    <t>I kw. 
2019</t>
  </si>
  <si>
    <t>I kw.
2019</t>
  </si>
  <si>
    <t>II kw.
2019</t>
  </si>
  <si>
    <t>III kw.
2019</t>
  </si>
  <si>
    <t>12 m-cy
2019</t>
  </si>
  <si>
    <t>IV kw.
2019</t>
  </si>
  <si>
    <t>31.03.2019</t>
  </si>
  <si>
    <t>30.06.2019</t>
  </si>
  <si>
    <t>30.09.2019</t>
  </si>
  <si>
    <t>31.12.2019</t>
  </si>
  <si>
    <t>Należności długoterminowe z tytułu leasingu</t>
  </si>
  <si>
    <t>Należności krótkoterminowe z tytułu leasingu</t>
  </si>
  <si>
    <t>Zobowiązania z tytułu leasingu</t>
  </si>
  <si>
    <t>Aktywa z tytułu praw do użytkowania</t>
  </si>
  <si>
    <t>Spłaty kredytów</t>
  </si>
  <si>
    <t>w tym środki pieniężne o ograniczonej możliwości dysponowania</t>
  </si>
  <si>
    <t>Płatności zobowiązań z tytułu umów leasingu</t>
  </si>
  <si>
    <t xml:space="preserve">Odsetki zapłacone od kredytów i obligacji </t>
  </si>
  <si>
    <t>Odsetki zapłacone z tytułu leasingu</t>
  </si>
  <si>
    <t>II kw. 
2019</t>
  </si>
  <si>
    <t>Nabycie składników rzeczowego majątku trwałego, 
wartości niematerialnych i aktywów z tytułu praw do użytkowania</t>
  </si>
  <si>
    <t>Sprzedaż składników rzeczowego majątku trwałego, 
wartości niematerialnych i aktywów z tytułu praw do użytkowania</t>
  </si>
  <si>
    <t>Zmiana środków pieniężnych związana z wykupem akcjonariuszy niekontrolujących UNIPETROL, a.s.</t>
  </si>
  <si>
    <t>****) Zgodnie z MSSF 16 Leasing w pozycji zwiększenie aktywów trwałych ujęto wartość praw do użytkowania - w celu zachowania spójności zaktualizowano również dane za I kwartał 2019.</t>
  </si>
  <si>
    <t>Zwiększenie aktywów trwałych ****</t>
  </si>
  <si>
    <t>Zwiększenie aktywów trwałych ***</t>
  </si>
  <si>
    <t>***) Zgodnie z MSSF 16 Leasing w pozycji zwiększenie aktywów trwałych ujęto wartość praw do użytkowania - w celu zachowania spójności zaktualizowano również dane za I kwartał 2019.</t>
  </si>
  <si>
    <t>**) Zgodnie z MSSF 16 Leasing w pozycji zwiększenie aktywów trwałych ujęto wartość praw do użytkowania - w celu zachowania spójności zaktualizowano również dane za I kwartał 2019.</t>
  </si>
  <si>
    <t>Zwiększenie aktywów trwałych **</t>
  </si>
  <si>
    <t>**) Zgodnie z MSSF 16 Leasing w pozycji zwiększenie aktywów trwałych ujęto wartość praw do użytkowania.</t>
  </si>
  <si>
    <t>III kw. 
2019</t>
  </si>
  <si>
    <t>Wpływy z otrzymanych kredytów</t>
  </si>
  <si>
    <t>IV kw. 
2019</t>
  </si>
  <si>
    <t>12 m-cy 2019</t>
  </si>
  <si>
    <t>Rok 2019</t>
  </si>
  <si>
    <t>utworzenie/(odwrócenie) odpisów aktualizujących wartość rzeczowych aktywów trwałych, 
wartości niematerialnych i pozostałych składników majątku trwałego</t>
  </si>
  <si>
    <t>opłaty z tytułu leasingu krótkoterminowego i niskocennego</t>
  </si>
  <si>
    <t>rozliczenie i wycena pochodnych instrumentów finansowych</t>
  </si>
  <si>
    <t>depozyty zabezpieczające</t>
  </si>
  <si>
    <t>zmiana stanu rozrachunków z tytułu rozliczonych instrumentów pochodnych niewyznaczonych dla celów rachunkowości zabezpieczeń</t>
  </si>
  <si>
    <t>Zysk/(strata) netto przypadający na</t>
  </si>
  <si>
    <t>Zysk netto i rozwodniony zysk netto na jedną akcję przypadający akcjonariuszom jednostki dominującej (w PLN na akcję)</t>
  </si>
  <si>
    <t>I kw.
2020</t>
  </si>
  <si>
    <t>II kw.
2020</t>
  </si>
  <si>
    <t>III kw.
2020</t>
  </si>
  <si>
    <t>IV kw.
2020</t>
  </si>
  <si>
    <t>12 m-cy
2020</t>
  </si>
  <si>
    <t>I kw. 
2020</t>
  </si>
  <si>
    <t>II kw. 
2020</t>
  </si>
  <si>
    <t>III kw. 
2020</t>
  </si>
  <si>
    <t>IV kw. 
2020</t>
  </si>
  <si>
    <t>12 m-cy 2020</t>
  </si>
  <si>
    <t>31.03.2020</t>
  </si>
  <si>
    <t>30.06.2020</t>
  </si>
  <si>
    <t>30.09.2020</t>
  </si>
  <si>
    <t>31.12.2020</t>
  </si>
  <si>
    <t>odpisy wartości zapasów do wartości netto możliwej do uzyskania</t>
  </si>
  <si>
    <t>zapasy, w tym:</t>
  </si>
  <si>
    <t>Lokaty krótkoterminowe</t>
  </si>
  <si>
    <t>Zysk/(Strata) brutto ze sprzedaży</t>
  </si>
  <si>
    <t>Segment Rafineria</t>
  </si>
  <si>
    <t>Segment Energetyka</t>
  </si>
  <si>
    <t>Energetyka</t>
  </si>
  <si>
    <t>Otoczenie makro</t>
  </si>
  <si>
    <t>Spis treści</t>
  </si>
  <si>
    <t>Marże</t>
  </si>
  <si>
    <t>Kursy</t>
  </si>
  <si>
    <t>Konsumpcja</t>
  </si>
  <si>
    <t>Wybrane dane finansowe</t>
  </si>
  <si>
    <t>Wybrane dane operacyjne</t>
  </si>
  <si>
    <t>Dane finansowo-operacyjne według segmentów działalności</t>
  </si>
  <si>
    <t>I kw.
2019*</t>
  </si>
  <si>
    <t>III kw.
2019*</t>
  </si>
  <si>
    <t>IV kw.
2019*</t>
  </si>
  <si>
    <t>12 m-cy
2019*</t>
  </si>
  <si>
    <t>I kw.
2020*</t>
  </si>
  <si>
    <t>Zwiększenie aktywów trwałych</t>
  </si>
  <si>
    <t>II kw.
2019
przed odpisem**</t>
  </si>
  <si>
    <t>III kw.
2019
przed odpisem*,**</t>
  </si>
  <si>
    <t>IV kw.
2019
przed odpisem*,**</t>
  </si>
  <si>
    <t>12 m-cy
2019
przed odpisem*,**</t>
  </si>
  <si>
    <t>I kw.
2020
przed odpisem*,**</t>
  </si>
  <si>
    <t>II kw.
2020
przed odpisem**</t>
  </si>
  <si>
    <t>III kw.
2020
przed odpisem**</t>
  </si>
  <si>
    <t>IV kw.
2020
przed odpisem**</t>
  </si>
  <si>
    <t>12 m-cy
2020
przed odpisem**</t>
  </si>
  <si>
    <t>Produkcja rafineryjna</t>
  </si>
  <si>
    <t>Produkcja petrochemiczna</t>
  </si>
  <si>
    <t>Zysk/(Strata) operacyjna powiększona o amortyzację (EBITDA) 
przed odpisami aktualizującymi**</t>
  </si>
  <si>
    <t>Zysk/(Strata) operacyjna powiększona o amortyzację (EBITDA)**</t>
  </si>
  <si>
    <t>Zysk/(Strata) operacyjna (EBIT) przed odpisami aktualizującymi**</t>
  </si>
  <si>
    <t>Zysk/(Strata) operacyjna (EBIT)**</t>
  </si>
  <si>
    <t>Energa</t>
  </si>
  <si>
    <t>*) Segment rafineria, petrochemia i energetyka: dane przekształcone.</t>
  </si>
  <si>
    <t>II kw.
2019*</t>
  </si>
  <si>
    <t>*) Dane przekształcone.</t>
  </si>
  <si>
    <t>Wypływy z tytułu udzielonych pożyczek</t>
  </si>
  <si>
    <t>*) Segment rafineria, petrochemia i enegetyka: dane przekształcone.</t>
  </si>
  <si>
    <t>Zysk/(Strata) z działalności operacyjnej wg LIFO powiększona o amortyzację (EBITDA LIFO)***, w tym:</t>
  </si>
  <si>
    <t>Zysk/(Strata) z działalności operacyjnej powiększona o amortyzację (EBITDA)***</t>
  </si>
  <si>
    <t>Zysk/(Strata) z działalności operacyjnej wg LIFO (EBIT LIFO)***, w tym:</t>
  </si>
  <si>
    <t>Zysk/(Strata) z działalności operacyjnej (EBIT)***</t>
  </si>
  <si>
    <t>zmiana stanu rozrachunków z tytułu rozliczonych instrumentów zabezpieczających przepływy pieniężne</t>
  </si>
  <si>
    <t>CashFlow '13-'15</t>
  </si>
  <si>
    <t>CashFlow '16-'17</t>
  </si>
  <si>
    <t>CashFlow '18</t>
  </si>
  <si>
    <t>CashFlow '19</t>
  </si>
  <si>
    <t>CashFlow '20</t>
  </si>
  <si>
    <t>Sprzedaż '13-'19</t>
  </si>
  <si>
    <t>Kluczowe dane finansowe '13-'19</t>
  </si>
  <si>
    <t>EBITDA, EBIT, Amort. '13-'19</t>
  </si>
  <si>
    <t>Downstream '13-'19</t>
  </si>
  <si>
    <t>RZiS '13-'17</t>
  </si>
  <si>
    <t>RZiS '18</t>
  </si>
  <si>
    <t>Bilans '13-'15</t>
  </si>
  <si>
    <t>Bilans '16</t>
  </si>
  <si>
    <t>Produkcja '13-'19</t>
  </si>
  <si>
    <t>Bilans '17-'18</t>
  </si>
  <si>
    <t xml:space="preserve">akcjonariuszom jednostki dominujacej </t>
  </si>
  <si>
    <t>(zysk) z tytułu okazyjnego nabycia Grupy ENERGA</t>
  </si>
  <si>
    <t>Rok 2020</t>
  </si>
  <si>
    <t>Nabycie akcji/udziałów pomniejszone o środki pieniężne, w tym:</t>
  </si>
  <si>
    <t>nabycie Grupy ENERGA</t>
  </si>
  <si>
    <t>**) W okresie 3 miesięcy zakończonym 30 czerwca 2020 roku oraz w okresie 12 miesięcy zakończonym 31 grudnia 2020 roku z uwzględnieniem rozpoznania zysku z tytułu okazyjnego nabycia 80% akcji Grupy ENERGA w wysokości 4 062 mln PLN.</t>
  </si>
  <si>
    <t>I kw.
2021</t>
  </si>
  <si>
    <t>II kw.
2021</t>
  </si>
  <si>
    <t>III kw.
2021</t>
  </si>
  <si>
    <t>IV kw.
2021</t>
  </si>
  <si>
    <t>12 m-cy
2021</t>
  </si>
  <si>
    <t>I kw.
2021
przed odpisem**</t>
  </si>
  <si>
    <t>II kw.
2021
przed odpisem**</t>
  </si>
  <si>
    <t>III kw.
2021
przed odpisem**</t>
  </si>
  <si>
    <t>IV kw.
2021
przed odpisem**</t>
  </si>
  <si>
    <t>12 m-cy
2021
przed odpisem**</t>
  </si>
  <si>
    <t>31.12.2021</t>
  </si>
  <si>
    <t>I kw. 
2021</t>
  </si>
  <si>
    <t>II kw. 
2021</t>
  </si>
  <si>
    <t>III kw. 
2021</t>
  </si>
  <si>
    <t>IV kw. 
2021</t>
  </si>
  <si>
    <t>12 m-cy 2021</t>
  </si>
  <si>
    <t>Nabycie akcji/udziałów pomniejszone o środki pieniężne</t>
  </si>
  <si>
    <t>rozliczenie dotacji na prawa majątkowe</t>
  </si>
  <si>
    <t>Zmiana struktury właścicielskiej w Baltic Power</t>
  </si>
  <si>
    <t>CashFlow '21</t>
  </si>
  <si>
    <t>I kw.
2021*</t>
  </si>
  <si>
    <t>II kw.
2020*</t>
  </si>
  <si>
    <t>31.03.2021*</t>
  </si>
  <si>
    <t>Przepływy netto z tytułu pożyczek</t>
  </si>
  <si>
    <t>Rok 2021</t>
  </si>
  <si>
    <t>Odsetki zapłacone od kredytów, pożyczek i obligacji</t>
  </si>
  <si>
    <t>udział w innych całkowitych dochodach w jednostkach wycenianych metodą praw własności</t>
  </si>
  <si>
    <t>I kw. 
2022</t>
  </si>
  <si>
    <t>I kw.
2022</t>
  </si>
  <si>
    <t>II kw.
2022</t>
  </si>
  <si>
    <t>III kw.
2022</t>
  </si>
  <si>
    <t>IV kw.
2022</t>
  </si>
  <si>
    <t>12 m-cy
2022</t>
  </si>
  <si>
    <t>31.03.2022</t>
  </si>
  <si>
    <t>30.06.2022</t>
  </si>
  <si>
    <t>30.09.2022</t>
  </si>
  <si>
    <t>31.12.2022</t>
  </si>
  <si>
    <t>I kw.
2022
przed odpisem**</t>
  </si>
  <si>
    <t>II kw.
2022
przed odpisem**</t>
  </si>
  <si>
    <t>III kw.
2022
przed odpisem**</t>
  </si>
  <si>
    <t>IV kw.
2022
przed odpisem**</t>
  </si>
  <si>
    <t>12 m-cy
2022
przed odpisem**</t>
  </si>
  <si>
    <t>II kw. 
2022</t>
  </si>
  <si>
    <t>III kw. 
2022</t>
  </si>
  <si>
    <t>IV kw. 
2022</t>
  </si>
  <si>
    <t>12 m-cy 2022</t>
  </si>
  <si>
    <t>Rok 2022</t>
  </si>
  <si>
    <t>Lekkie destylaty, w tym:</t>
  </si>
  <si>
    <t>Średnie destylaty, w tym:</t>
  </si>
  <si>
    <t xml:space="preserve">  - benzyna</t>
  </si>
  <si>
    <t xml:space="preserve">  - LPG</t>
  </si>
  <si>
    <t xml:space="preserve">  - olej napędowy</t>
  </si>
  <si>
    <t xml:space="preserve">  - lekki olej opałowy</t>
  </si>
  <si>
    <t xml:space="preserve">  - paliwo lotnicze</t>
  </si>
  <si>
    <t xml:space="preserve">  - ciężki olej opałowy</t>
  </si>
  <si>
    <t xml:space="preserve">  - asfalt</t>
  </si>
  <si>
    <t xml:space="preserve">  - oleje</t>
  </si>
  <si>
    <t>Frakcje ciężkie, w tym:</t>
  </si>
  <si>
    <t xml:space="preserve">  - etylen</t>
  </si>
  <si>
    <t xml:space="preserve">  - propylen</t>
  </si>
  <si>
    <t xml:space="preserve">  - polietylen</t>
  </si>
  <si>
    <t xml:space="preserve">  - polipropylen</t>
  </si>
  <si>
    <t>Monomery, w tym:</t>
  </si>
  <si>
    <t>Polimery, w tym:</t>
  </si>
  <si>
    <t>Aromaty, w tym:</t>
  </si>
  <si>
    <t xml:space="preserve">  - benzen</t>
  </si>
  <si>
    <t xml:space="preserve">  - toluen</t>
  </si>
  <si>
    <t xml:space="preserve">  - paraksylen</t>
  </si>
  <si>
    <t xml:space="preserve">  - ortoksylen</t>
  </si>
  <si>
    <t>Ropa naftowa</t>
  </si>
  <si>
    <t>Gaz ziemny</t>
  </si>
  <si>
    <t>NGL (Natural Gas Liquids)</t>
  </si>
  <si>
    <t>Nawozy sztuczne, w tym:</t>
  </si>
  <si>
    <t xml:space="preserve">  - CANWIL</t>
  </si>
  <si>
    <t xml:space="preserve">  - siarczan amonu</t>
  </si>
  <si>
    <t xml:space="preserve">  - saletra amonowa</t>
  </si>
  <si>
    <t xml:space="preserve">  - pozostałe</t>
  </si>
  <si>
    <t>Tworzywa sztuczne, w tym:</t>
  </si>
  <si>
    <t xml:space="preserve">  - PCW</t>
  </si>
  <si>
    <t xml:space="preserve">  - granulat PCW</t>
  </si>
  <si>
    <t>Kanada</t>
  </si>
  <si>
    <t>Zasoby 2P na ostatni dzień okresu (mln boe)</t>
  </si>
  <si>
    <t xml:space="preserve">Polska </t>
  </si>
  <si>
    <t>Sprzedaż ropy naftowej (bbl/d)</t>
  </si>
  <si>
    <t>Sprzedaż gazu ziemnego (boe/d)</t>
  </si>
  <si>
    <t>Sprzedaż NGL (Natural Gas Liquids) (boe/d)</t>
  </si>
  <si>
    <t>Produkcja całkowita (ropa + gaz + NGL) ( boe/d)</t>
  </si>
  <si>
    <t>Sprzedaż całkowita (ropa + gaz + NGL) (boe/d)</t>
  </si>
  <si>
    <t>- benzyna</t>
  </si>
  <si>
    <t>- LPG</t>
  </si>
  <si>
    <t>- olej napędowy</t>
  </si>
  <si>
    <t>- lekki olej opałowy</t>
  </si>
  <si>
    <t>- paliwo lotnicze</t>
  </si>
  <si>
    <t>Frakcje ciężkie</t>
  </si>
  <si>
    <t xml:space="preserve">  - pozostałe nawozy</t>
  </si>
  <si>
    <t xml:space="preserve">  - przetwórstwo PCW</t>
  </si>
  <si>
    <t>Dane historyczne</t>
  </si>
  <si>
    <t>EBITDA, EBIT, Amortyzacja</t>
  </si>
  <si>
    <t>RZiS</t>
  </si>
  <si>
    <t>Bilans</t>
  </si>
  <si>
    <t>CashFlow</t>
  </si>
  <si>
    <t>Produkcja</t>
  </si>
  <si>
    <t>Sprzedaż</t>
  </si>
  <si>
    <t>1) Od stycznia 2021 zmiana sposobu prezentacji Dyferencjału URAL / Brent zgodnie z funkcjonowaniem rynku ropy.
    a) Cena Urals &lt; Cena Brent - dyferencjał prezentowany jest ze znakiem ujemnym [-] i ma pozytywny wpływ na wyniki finansowe z tytułu tańszego wsadu,
    b) Cena Urals &gt; Cena Brent - dyferencjał prezentowany jest ze znakiem dodatnim [+] i ma negatywny wpływ na wyniki finansowe z tytułu droższego wsadu.
W celu zachowania porównywalności dane historyczne za lata 2013-2020 zostały skorygowane.
Od 1 stycznia 2022 Dyferencjał z notowań liczony na bazie rzeczywistego udziału przerabianych rop w danym okresie. Notowania rynkowe spot.</t>
  </si>
  <si>
    <t>Liczba dni (w okresie)</t>
  </si>
  <si>
    <t>Dystrybucja energii elektrycznej - wolumen dostarczonej energii (TWh)</t>
  </si>
  <si>
    <t>Sprzedaż energii elektrycznej na rynku detalicznym (TWh)</t>
  </si>
  <si>
    <t>Sprzedaż energii elektrycznej na rynku hurtowym (TWh)</t>
  </si>
  <si>
    <t>Nabycie aktywów finansowych w ORLEN VC</t>
  </si>
  <si>
    <t>II kw.
2021*</t>
  </si>
  <si>
    <t>Norwegia</t>
  </si>
  <si>
    <t>III kw. 
2022*</t>
  </si>
  <si>
    <t>*) Od maja 2020 roku z uwzględnieniem wolumenów Grupy ENERGA. Od sierpnia 2022 roku z uwzględnieniem wolumenów Grupy exLOTOS.</t>
  </si>
  <si>
    <t>III kw.
2021*</t>
  </si>
  <si>
    <t>30.06.2021*</t>
  </si>
  <si>
    <t>30.09.2021*</t>
  </si>
  <si>
    <t>Wyłączenia</t>
  </si>
  <si>
    <t>Moc zainstalowana elektryczna (GWe) z czego stanowią:</t>
  </si>
  <si>
    <t>Produkcja energii elektrycznej brutto (TWh), w tym z:</t>
  </si>
  <si>
    <t>***) W okresie 3 miesięcy zakończonym 30 czerwca 2020 roku oraz w okresie 12 miesięcy zakończonym 31 grudnia 2020 roku z uwzględnieniem rozpoznania zysku z tytułu okazyjnego nabycia 80% akcji Grupy ENERGA w wysokości 4 062 mln PLN. W okresie 3 miesięcy zakończonym 30 września 2022 roku z uwzględnieniem rozpoznania zysku z tytułu okazyjnego nabycia Grupy LOTOS w wysokości 5 923 mln PLN.</t>
  </si>
  <si>
    <t xml:space="preserve">  Gaz</t>
  </si>
  <si>
    <t xml:space="preserve">  OZE</t>
  </si>
  <si>
    <t xml:space="preserve">  Pozostałe</t>
  </si>
  <si>
    <t xml:space="preserve">  Olej opałowy</t>
  </si>
  <si>
    <t xml:space="preserve">  Węgiel</t>
  </si>
  <si>
    <t>Środki pieniężne w nabytych spółkach Grupy LOTOS na dzień połączenia</t>
  </si>
  <si>
    <t>Zwiększenie/(Zmniejszenie) netto stanu środków pieniężnych</t>
  </si>
  <si>
    <t>Środki pieniężne na koniec okresu</t>
  </si>
  <si>
    <t>Segment Gaz</t>
  </si>
  <si>
    <t>Gaz</t>
  </si>
  <si>
    <t>Gaz LNG</t>
  </si>
  <si>
    <t>Wybrane dane operacyjne spółek dawnej Grupy PGNiG</t>
  </si>
  <si>
    <t>Wolumen produkcji, w tym:</t>
  </si>
  <si>
    <t>Wolumen importu do Polski, w tym:</t>
  </si>
  <si>
    <t xml:space="preserve">   - z kierunku wschodniego, w tym:</t>
  </si>
  <si>
    <t xml:space="preserve">   - LNG</t>
  </si>
  <si>
    <t xml:space="preserve"> - PGNiG Upstream Norway</t>
  </si>
  <si>
    <t xml:space="preserve"> - PGNiG SA:</t>
  </si>
  <si>
    <t xml:space="preserve"> - PGNiG Supply &amp; Trading </t>
  </si>
  <si>
    <t xml:space="preserve"> - PGNiG Obrót Detaliczny</t>
  </si>
  <si>
    <t>Wolumen sprzedaży, w tym:</t>
  </si>
  <si>
    <t>11-12
2022</t>
  </si>
  <si>
    <t>1 375,5</t>
  </si>
  <si>
    <t>1 491,0</t>
  </si>
  <si>
    <t>1 339,9</t>
  </si>
  <si>
    <t>1 368,9</t>
  </si>
  <si>
    <t>Wpływy/(Wydatki) netto z tytułu pożyczek</t>
  </si>
  <si>
    <t>Środki pieniężne w nabytych spółkach Grupy Kapitałowej PGNiG na dzień połączenia</t>
  </si>
  <si>
    <t>j.m.</t>
  </si>
  <si>
    <t>TWh</t>
  </si>
  <si>
    <t>tys. ton</t>
  </si>
  <si>
    <t>PJ</t>
  </si>
  <si>
    <t>DYSTRYBUCJA</t>
  </si>
  <si>
    <t>Wolumen sprzedaży ciepła</t>
  </si>
  <si>
    <t>Wolumen sprzedaży energii elektrycznej z produkcji</t>
  </si>
  <si>
    <t>GAZ ZIEMNY</t>
  </si>
  <si>
    <t>ROPA NAFTOWA*</t>
  </si>
  <si>
    <t>CIEPŁO i ENERGIA ELEKTRYCZNA**</t>
  </si>
  <si>
    <t>* dane łączne dla ropy naftowej, NGL i kondensatu.</t>
  </si>
  <si>
    <t>** dane PGNiG Termika S.A. oraz PGNiG Termika Energetyka Przemysłowa S.A.</t>
  </si>
  <si>
    <t>zysk z tytułu okazyjnego nabycia Grupy Kapitałowej LOTOS i Grupy PGNiG</t>
  </si>
  <si>
    <t>Spółki dawnej Grupy PGNiG</t>
  </si>
  <si>
    <t>zysk z tytułu okazyjnego nabycia Grupy Kapitałowej LOTOS i PGNIG</t>
  </si>
  <si>
    <t>Wolumen sprzedaży poza Grupę PGNiG, w tym:</t>
  </si>
  <si>
    <t xml:space="preserve">   - Polska</t>
  </si>
  <si>
    <t xml:space="preserve">   - Pakistan</t>
  </si>
  <si>
    <t xml:space="preserve"> Litwa</t>
  </si>
  <si>
    <t>Towarowa Giełda Energii</t>
  </si>
  <si>
    <t>Ukraina</t>
  </si>
  <si>
    <t>Polska Spółka Gazownictwa</t>
  </si>
  <si>
    <t>Pakistan</t>
  </si>
  <si>
    <t xml:space="preserve"> -</t>
  </si>
  <si>
    <t>Wybrane dane operacyjne dla segmentu Energetyka, Wydobycie oraz Gaz</t>
  </si>
  <si>
    <t>Środki pieniężne na dzień ustalenia wspólnego działania w Rafinerii Gdańskiej</t>
  </si>
  <si>
    <t>Wpływy ze sprzedaży akcji/udziałów w związku z realizacją Środków Zaradczych oraz zbycia 30% udziałów w Rafinerii Gdańskiej</t>
  </si>
  <si>
    <t>I kw. 
2023</t>
  </si>
  <si>
    <t>II kw. 
2023</t>
  </si>
  <si>
    <t>III kw. 
2023</t>
  </si>
  <si>
    <t>IV kw. 
2023</t>
  </si>
  <si>
    <t>12 m-cy 2023</t>
  </si>
  <si>
    <t>I kw.
2023</t>
  </si>
  <si>
    <t>II kw.
2023</t>
  </si>
  <si>
    <t>III kw.
2023</t>
  </si>
  <si>
    <t>IV kw.
2023</t>
  </si>
  <si>
    <t>12 m-cy
2023</t>
  </si>
  <si>
    <t>I kw.
2023
przed odpisem**</t>
  </si>
  <si>
    <t>II kw.
2023
przed odpisem**</t>
  </si>
  <si>
    <t>III kw.
2023
przed odpisem**</t>
  </si>
  <si>
    <t>IV kw.
2023
przed odpisem**</t>
  </si>
  <si>
    <t>12 m-cy
2023
przed odpisem**</t>
  </si>
  <si>
    <t>31.03.2023</t>
  </si>
  <si>
    <t>30.06.2023</t>
  </si>
  <si>
    <t>30.09.2023</t>
  </si>
  <si>
    <t>31.12.2023</t>
  </si>
  <si>
    <t>(Strata)/odwrócenie straty z tytułu utraty wartości należności handlowych</t>
  </si>
  <si>
    <t>wycena nieruchomości inwestycyjnych do wartości godziwej na moment przeklasyfikowania</t>
  </si>
  <si>
    <t>instrumenty pochodne zabezpieczające przepływy pieniężne</t>
  </si>
  <si>
    <t>Wartości niematerialne oraz wartość firmy</t>
  </si>
  <si>
    <t>CashFlow '22</t>
  </si>
  <si>
    <t>Słowacja</t>
  </si>
  <si>
    <t>Węgry</t>
  </si>
  <si>
    <t>ROPA NAFTOWA i KONDENSAT</t>
  </si>
  <si>
    <t>Produkcja gazu (TWh)</t>
  </si>
  <si>
    <t>Sprzedaż gazu poza Grupę ORLEN (TWh)</t>
  </si>
  <si>
    <t>Import do Polski (TWh)</t>
  </si>
  <si>
    <t xml:space="preserve">   - LNG (kontrakty bazujące na Henry hub)</t>
  </si>
  <si>
    <t xml:space="preserve">   - Interkonektory</t>
  </si>
  <si>
    <t>Sprzedaż poza Grupę ORLEN (TWh)</t>
  </si>
  <si>
    <t>Dla przemysłu</t>
  </si>
  <si>
    <t xml:space="preserve"> PGNIG OD Taryfowy</t>
  </si>
  <si>
    <t>PGNiG OD Nie-taryfowy</t>
  </si>
  <si>
    <t>Sprzedaż wewnętrz Grupy ORLEN (TWh)</t>
  </si>
  <si>
    <t>Dystrybucja (TWh)</t>
  </si>
  <si>
    <t>ENERGIA ELEKTRYCZNA</t>
  </si>
  <si>
    <t>Moc zainstalowana (GWe)</t>
  </si>
  <si>
    <t>Produkcja (TWh)</t>
  </si>
  <si>
    <t xml:space="preserve">Sprzedaż poza Grupę ORLEN (TWh) </t>
  </si>
  <si>
    <t xml:space="preserve"> - na rynku detalicznym </t>
  </si>
  <si>
    <t xml:space="preserve"> - na rynku hurtowym</t>
  </si>
  <si>
    <t xml:space="preserve">Sprzedaż wewnętrz Grupy ORLEN (TWh) </t>
  </si>
  <si>
    <t>CIEPŁO</t>
  </si>
  <si>
    <t>Sprzedaż poza Grupę ORLEN (PJ)</t>
  </si>
  <si>
    <t>Nabycie obligacji</t>
  </si>
  <si>
    <t>Nabycie aktywów petrochemicznych pomniejszone o środki pieniężne</t>
  </si>
  <si>
    <t>Wpływy netto z tytułu pożyczek</t>
  </si>
  <si>
    <t>instrumenty pochodne</t>
  </si>
  <si>
    <t>Środki pieniężne na początek okresu</t>
  </si>
  <si>
    <t>Moc zainstalowana (GWt)</t>
  </si>
  <si>
    <t>Produkcja ciepła użytkowego (PJ)</t>
  </si>
  <si>
    <t xml:space="preserve">   - LNG łącznie, w tym:</t>
  </si>
  <si>
    <t>Energ_Wydoby_Gaz_'19-'22</t>
  </si>
  <si>
    <t xml:space="preserve">  Wielopaliwowe, głównie olej opałowy  (TWh)</t>
  </si>
  <si>
    <t xml:space="preserve">  Wielopaliwowe, głównie olej opałowy</t>
  </si>
  <si>
    <t>Sprzedaż energii elektrycznej (TWh)**</t>
  </si>
  <si>
    <t>**) Sprzedaż do odbiorców spoza GK ORLEN</t>
  </si>
  <si>
    <t xml:space="preserve">  Węgiel (TWh)</t>
  </si>
  <si>
    <t xml:space="preserve">  Pozostałe***</t>
  </si>
  <si>
    <t>***) Produkcja energii elektrycznej w ESP Żydowo</t>
  </si>
  <si>
    <t>Wpływy ze sprzedaży akcji/udziałów w związku z realizacją Środków Zaradczych</t>
  </si>
  <si>
    <t>ORLEN S.A.</t>
  </si>
  <si>
    <t xml:space="preserve"> - ORLEN S.A., Oddział Centralny PGNiG:</t>
  </si>
  <si>
    <t>Produkcja ropy, kondensatu, NGL (w tys. boe)</t>
  </si>
  <si>
    <t>Sprzedaż ropy, kondensatu, NGL poza GK ORLEN (w tys. boe)</t>
  </si>
  <si>
    <t>Produkcja gazu (w tys. boe)</t>
  </si>
  <si>
    <t>Sprzedaż gazu poza Grupę ORLEN (w tys. boe)</t>
  </si>
  <si>
    <t>Sprzedaż gazu zaazotowanego (poza GK ORLEN) bezpośrednio do klientów ze źródeł lokalnych w Polsce (w tys. boe)</t>
  </si>
  <si>
    <t>Sprzedaż gazu zaazotowanego (poza GK ORLEN) bezpośrednio do klientów ze źródeł lokalnych w Polsce (w TWh)</t>
  </si>
  <si>
    <t>do segmentu Rafineria</t>
  </si>
  <si>
    <t>do segmentu Petrochemia</t>
  </si>
  <si>
    <t>do segmentu Energetyka</t>
  </si>
  <si>
    <t>do segmentu Detal</t>
  </si>
  <si>
    <t>do segmentu Upstream</t>
  </si>
  <si>
    <t>do segmentu Gaz</t>
  </si>
  <si>
    <t>do segmentu Pozostałe</t>
  </si>
  <si>
    <t>Wolumen dystrybucji gazów (TWh)</t>
  </si>
  <si>
    <t>Wypełnienie magazynów Grupa ORLEN (TWh)</t>
  </si>
  <si>
    <t>Wypełnienie magazynów Grupa ORLEN (mld m3)</t>
  </si>
  <si>
    <t xml:space="preserve">1) Szacunki własne opracowane na bazie dostępnych danych Agencji Rynku Energii S.A., Litewskiego Urzędu Statystycznego, Czeskiego Urzędu Statystycznego i Niemieckiego Stowarzyszenia Przemysłu Naftowego oraz danych Eurostat. </t>
  </si>
  <si>
    <t>Nabycie akcji i udziałów pomniejszone o środki pieniężne</t>
  </si>
  <si>
    <t>Dokapitalizowanie w inwestycjach we wspólne przedsięwzięcia</t>
  </si>
  <si>
    <t>6) Na bazie notowań indeksu TGEgasDA publikowanych przez Towarową Giełdę Energii (TGE).</t>
  </si>
  <si>
    <t>Rok 2023</t>
  </si>
  <si>
    <t xml:space="preserve"> Ukraina</t>
  </si>
  <si>
    <t>Moc zainstalowana cieplna (GWt)</t>
  </si>
  <si>
    <t>Sprzedaż ciepła poza GK ORLEN (PJ)</t>
  </si>
  <si>
    <t>I kw. 
2024</t>
  </si>
  <si>
    <t>II kw. 
2024</t>
  </si>
  <si>
    <t>III kw. 
2024</t>
  </si>
  <si>
    <t>IV kw. 
2024</t>
  </si>
  <si>
    <t>12 m-cy 2024</t>
  </si>
  <si>
    <t>I kw.
2024</t>
  </si>
  <si>
    <t>II kw.
2024</t>
  </si>
  <si>
    <t>III kw.
2024</t>
  </si>
  <si>
    <t>IV kw.
2024</t>
  </si>
  <si>
    <t>12 m-cy
2024</t>
  </si>
  <si>
    <t>I kw.
2024
przed odpisem**</t>
  </si>
  <si>
    <t>II kw.
2024
przed odpisem**</t>
  </si>
  <si>
    <t>III kw.
2024
przed odpisem**</t>
  </si>
  <si>
    <t>IV kw.
2024
przed odpisem**</t>
  </si>
  <si>
    <t>12 m-cy
2024
przed odpisem**</t>
  </si>
  <si>
    <t>31.03.2024</t>
  </si>
  <si>
    <t>30.06.2024</t>
  </si>
  <si>
    <t>30.09.2024</t>
  </si>
  <si>
    <t>31.12.2024</t>
  </si>
  <si>
    <t>CashFlow '23</t>
  </si>
  <si>
    <t>Nabycie składników rzeczowego majątku trwałego, wartości niematerialnych i aktywów z tytułu praw do użytkowania</t>
  </si>
  <si>
    <t>Sprzedaż składników rzeczowego majątku trwałego, wartości niematerialnych i aktywów z tytułu praw do użytkowania</t>
  </si>
  <si>
    <t>**) Odpis z tytułu utraty wartości aktywów zgodnie z MSR 36.</t>
  </si>
  <si>
    <t>EUR/USD</t>
  </si>
  <si>
    <t>1) Na podstawie kursów ustalanych przez Narodowy Bank Polski (NBP), Czeski Bank Narodowy, Bank Litwy (w latach 2013-2014) i Europejski Bank Centralny</t>
  </si>
  <si>
    <t>(Strata)/odwrócenie straty z tytułu utraty wartości aktywów finansowych innych niż należności handlowe</t>
  </si>
  <si>
    <t>Austria</t>
  </si>
  <si>
    <t>zmiana stanu aktywów i zobowiązań z tytułu kontraktów wycenionych na moment rozliczenia połączenia jednostek</t>
  </si>
  <si>
    <t>WYBÓR JĘZYKA</t>
  </si>
  <si>
    <t xml:space="preserve">         (żeby zmienić wersję językową PROSZĘ KLIKNĄC NA CYFRĘ )</t>
  </si>
  <si>
    <t>LANGUAGE CHOICE</t>
  </si>
  <si>
    <t xml:space="preserve">         (To change language please press number)</t>
  </si>
  <si>
    <t>PL</t>
  </si>
  <si>
    <t>ENG</t>
  </si>
  <si>
    <t>POLISH</t>
  </si>
  <si>
    <t>ENGLISH</t>
  </si>
  <si>
    <t>Table of contents</t>
  </si>
  <si>
    <t>Macroeconomic situation</t>
  </si>
  <si>
    <t>Margins</t>
  </si>
  <si>
    <t>Exchange rates</t>
  </si>
  <si>
    <t>Selected financial data</t>
  </si>
  <si>
    <t>Key financial data</t>
  </si>
  <si>
    <t>EBITDA, EBIT, Depreciation</t>
  </si>
  <si>
    <t>Refining</t>
  </si>
  <si>
    <t>Petrochemical</t>
  </si>
  <si>
    <t>Energy</t>
  </si>
  <si>
    <t>Retail</t>
  </si>
  <si>
    <t>Upstream</t>
  </si>
  <si>
    <t>Gas</t>
  </si>
  <si>
    <t>Corporate functions</t>
  </si>
  <si>
    <t>P&amp;L</t>
  </si>
  <si>
    <t>Balance sheet</t>
  </si>
  <si>
    <t>Selected operating data</t>
  </si>
  <si>
    <t>Production</t>
  </si>
  <si>
    <t>Sales</t>
  </si>
  <si>
    <t>Historical data</t>
  </si>
  <si>
    <t>Key financial data '13-'19</t>
  </si>
  <si>
    <t>EBITDA, EBIT, Depreciat. '13-'19</t>
  </si>
  <si>
    <t>P&amp;L '13-'17</t>
  </si>
  <si>
    <t>P&amp;L '18</t>
  </si>
  <si>
    <t>Balance sheet '13-'15</t>
  </si>
  <si>
    <t>Balance sheet '16</t>
  </si>
  <si>
    <t>Balance sheet '17-'18</t>
  </si>
  <si>
    <t>Production '13-'19</t>
  </si>
  <si>
    <t>Sales '13-'19</t>
  </si>
  <si>
    <t>Companies of the former PGNiG</t>
  </si>
  <si>
    <t>Gaz Henry Hub (USD/1000m3)</t>
  </si>
  <si>
    <t>Gaz NGX AB-NIT (2A) (USD/1000m3)</t>
  </si>
  <si>
    <t>2) Modelowa marża downstream (MMD) = Przychody (90,7% Produkty = 22,8% Benzyna + 44,2% ON + 15,3% COO + 1,0% SN 150 + 2,9% Etylen + 2,1% Propylen + 1,2% Benzen + 1,2% PX) – Koszty (wsad 100% = 6,5% Ropa Brent + 91,1% Ropa URAL + 2,4% Gaz ziemny).</t>
  </si>
  <si>
    <t>3) Modelowa marża rafineryjna = Przychody (Produkty (93,5%) = 36% Benzyna + 43% ON + 14,5% COO) minus koszty (100% wsadu: ropa Brent i pozostałe surowce wyceniane po ropie Brent); ceny produktów wg notowań USD/bbl. Od 1 sierpnia 2022 roku modelowa marża rafineryjna liczona według formuły:  Modelowa marża rafineryjna = Przychody (Produkty (93,6%) = 33% Benzyna + 48% ON + 13% COO) minus koszty (100% wsadu: 98% Ropa Brent + 2% Gaz ziemny). Ceny produktów wg notowań USD/bbl.</t>
  </si>
  <si>
    <t>4) Modelowa marża petrochemiczna = Przychody (98% Produkty = 44% HDPE +  7% LDPE + 35% PP homo + 12% PP copo) - ceny produktów wg notowań kontraktowych minus koszty (100% wsadu = 75% Nafta + 25% LS VGO) - ceny produktów wg notowań spot.</t>
  </si>
  <si>
    <t>7) Marże (crack) dla produktów rafineryjnych i petrochemicznych (z wyjątkiem polimerów) wyliczone jako różnica pomiędzy notowaniem danego produktu a notowaniem ropy Brent DTD.</t>
  </si>
  <si>
    <t>8) Marża (crack) dla polimerów wyliczona jako różnica pomiędzy notowaniami polimerów a notowaniami monomerów.</t>
  </si>
  <si>
    <t>Macroeconomic parameters</t>
  </si>
  <si>
    <t>Item</t>
  </si>
  <si>
    <t>Brent crude oil (USD/bbl)</t>
  </si>
  <si>
    <t>WTI crude oil (USD/bbl)</t>
  </si>
  <si>
    <t>Canadian Light Sweet crude oil (USD/bbl)</t>
  </si>
  <si>
    <t>Henry Hub gas (USD/1000m3)</t>
  </si>
  <si>
    <t>Gas NGX AB-NIT (2A) (USD/1000m3)</t>
  </si>
  <si>
    <t xml:space="preserve">Quotation of margins (crack margins) </t>
  </si>
  <si>
    <t>Gasoline</t>
  </si>
  <si>
    <t>Diesel oil</t>
  </si>
  <si>
    <t>Light heating oil</t>
  </si>
  <si>
    <t>Jet A-1 fuel</t>
  </si>
  <si>
    <t>Heavy heating oil</t>
  </si>
  <si>
    <t>Ethylene</t>
  </si>
  <si>
    <t>Propylene</t>
  </si>
  <si>
    <t>Toluene</t>
  </si>
  <si>
    <t>Benzene</t>
  </si>
  <si>
    <t>Butadiene</t>
  </si>
  <si>
    <t>Paraxylene</t>
  </si>
  <si>
    <t>2) Model downstream margin (MDM) = Revenues (90.7% Products = 22.8% Gasoline + 44.2% Diesel oil + 15.3% HHO + 1.0% SN 150 + 2.9% Ethylene + 2.1% Propylene + 1.2% Benzene + 1.2% PX) – Expenses (100% input = 6.5% Brent crude oil + 91.1% URAL crude oil + 2.4% natural gas).</t>
  </si>
  <si>
    <t>3) Model refining margin = Revenues (Products (93.5%) = 36% Gasoline + 43% Diesel oil + 14.5% HHO) minus expenses (100% input: Brent crude oil and other raw materials valued at Brent crude); product prices based on USD/bbl quotations.</t>
  </si>
  <si>
    <t>4) Model petrochemical margin = Revenues (98% Products = 44% HDPE + 7% LDPE + 35% PP homo + 12% PP copo) – products prices based on contract quotations minus expenses (100% input = 75% Naphtha + 25% LS VGO) – products prices based on spot quotations.</t>
  </si>
  <si>
    <t>5) Model petrochemical margin of olefins = Revenues (100% Products = 50% Ethylene + 30% Propylene + 10% Benzene + 10% Toluene) – products prices based on contract quotations minus expenses (100% input = 75% Naphtha + 25% LS VGO); products prices based on quotations. Starting from 2016 Model petrochemical margin of olefins = Revenues (100% Products = 0.85*Ethylene*54% + 0.92*Propylene*28% + 0.84*Glycols*9% + 0.81*Butadiene*6% + 0.8*Ethylene Oxide*3%) minus expenses (100% Input = 100% Nafta); products prices based on quotations.</t>
  </si>
  <si>
    <t>5) Modelowa marża petrochemiczna na olefinach = przychody (100% Produkty = 50% Etylen + 30% Propylen + 10% Benzen + 10% Toluen) – ceny produktów wg notowań kontraktowych minus koszty(100% wsadu = 75% Nafta + 25% LS VGO); ceny produktów wg notowań.                                                                                                                                                                                                                                                                                                                                                                                     Od 2016 roku Modelowa marża petrochemiczna na olefinach = Przychody (100% Produkty = 0,85*Etylen*54% + 0,92*Propylen*28% + 0,84*Glikole*9% + 0,81*Butadien*6% + 0,8*Tlenek Etylenu*3%) minus koszty (100% Wsad = 100% Nafta); ceny produktów wg notowań.</t>
  </si>
  <si>
    <t>6) Based on quotation TGEgasDA published by Towarowa Giełda Energii (TGE).</t>
  </si>
  <si>
    <t>7) Margins (crack) for refining and petrochemical products (excluding polymers) calculated as difference between a quotation of given product and a quotation of Brent DTD crude oil.</t>
  </si>
  <si>
    <t>8) Margin (crack) for polymers calculated as difference between quotations of polymers and monomers.</t>
  </si>
  <si>
    <t>12 months
2015</t>
  </si>
  <si>
    <t>12 months
2016</t>
  </si>
  <si>
    <t>12 months
2017</t>
  </si>
  <si>
    <t>12 months
2018</t>
  </si>
  <si>
    <t>12 months
2019</t>
  </si>
  <si>
    <t>12 months
2020</t>
  </si>
  <si>
    <t>12 months
2021</t>
  </si>
  <si>
    <t>Q1
2022</t>
  </si>
  <si>
    <t>Q2
2022</t>
  </si>
  <si>
    <t>Q3
2022</t>
  </si>
  <si>
    <t>Q4
2022</t>
  </si>
  <si>
    <t>12 months
2022</t>
  </si>
  <si>
    <t>Q1
2023</t>
  </si>
  <si>
    <t>Q2
2023</t>
  </si>
  <si>
    <t>Q3
2023</t>
  </si>
  <si>
    <t>Q4
2023</t>
  </si>
  <si>
    <t>12 months
2023</t>
  </si>
  <si>
    <t>Q1
2024</t>
  </si>
  <si>
    <t>Q2
2024</t>
  </si>
  <si>
    <t>Q3
2024</t>
  </si>
  <si>
    <t>Q4
2024</t>
  </si>
  <si>
    <t>12 months
2024</t>
  </si>
  <si>
    <t>Currency</t>
  </si>
  <si>
    <t>1) Based on exchange rates published by NBP, Czech Republic National Bank and Bank of Lithuania (for the years 2013-2014).</t>
  </si>
  <si>
    <t>12 months
2013</t>
  </si>
  <si>
    <t>12 months
2014</t>
  </si>
  <si>
    <t>Kurs średni 1)</t>
  </si>
  <si>
    <t>Kurs na koniec 1)</t>
  </si>
  <si>
    <t>Average exchange rates 1)</t>
  </si>
  <si>
    <t>Period end exchange rates 1)</t>
  </si>
  <si>
    <t>Konsumpcja paliw 1)</t>
  </si>
  <si>
    <t>Fuel consumption 1)</t>
  </si>
  <si>
    <t>Countries, 
(‘000 tonnes)</t>
  </si>
  <si>
    <t>Poland</t>
  </si>
  <si>
    <t>Lithuania</t>
  </si>
  <si>
    <t>Czech Republic</t>
  </si>
  <si>
    <t>Germany</t>
  </si>
  <si>
    <t>Slovakia</t>
  </si>
  <si>
    <t>Hungary</t>
  </si>
  <si>
    <t>1) Estimates prepared based on data of Agencja Rynku Energii S.A., Lithuanian Statistical Office, Czech Statistical Office and Association of the German Petroleum Industry and Eurostat.</t>
  </si>
  <si>
    <t>Q4 2013</t>
  </si>
  <si>
    <t>Q4 2014</t>
  </si>
  <si>
    <t>Q4 2015</t>
  </si>
  <si>
    <t>Q4 2016</t>
  </si>
  <si>
    <t>Q4 2017</t>
  </si>
  <si>
    <t>Q4 2018</t>
  </si>
  <si>
    <t>Q4 2019</t>
  </si>
  <si>
    <t>Q4 2020</t>
  </si>
  <si>
    <t>Q4 2021</t>
  </si>
  <si>
    <t>1) Begining from January 2021, according with the functioning of crude oil market a change in URAL/Brent Differential presentation was implemented.                                                                                                                                                                                 a) Price of Urals &lt; Price of Brent – the differential is presented with a negative sign [-] and has positive impact of financial results due to cheaper input,                                                                                                                                                                                               b) Price of Urals &gt; Price of Brent – the differential is presented with a positive sign [+] and has negative impact of financial results due to more expensive input.                                                                                                                                                           In order to ensure comparability the historical data for 2013-2020 were corrected.                                                                                                                                                                                                                                                                                                    From January 1st of 2022 differential is calculated based on actual share of processed crude oils types in given period. Spot market quotations.</t>
  </si>
  <si>
    <t>Countries,                                                                   (‘000 tonnes)</t>
  </si>
  <si>
    <t>Key financial data
[PLN million]</t>
  </si>
  <si>
    <t>Sales revenues</t>
  </si>
  <si>
    <t>Operating Profit/(Loss) under LIFO increased by depreciation and amortisation (EBITDA LIFO) before impairment allowances **,***, including:</t>
  </si>
  <si>
    <t xml:space="preserve">  Refining</t>
  </si>
  <si>
    <t xml:space="preserve">  Petrochemical</t>
  </si>
  <si>
    <t xml:space="preserve">  Energy</t>
  </si>
  <si>
    <t xml:space="preserve">  Retail</t>
  </si>
  <si>
    <t xml:space="preserve">  Upstream</t>
  </si>
  <si>
    <t xml:space="preserve">  Gas</t>
  </si>
  <si>
    <t xml:space="preserve">  Corporate functions 1</t>
  </si>
  <si>
    <t xml:space="preserve">  Adjustments</t>
  </si>
  <si>
    <t>Operating Profit/(Loss) under LIFO increased by depreciation and amortisation (EBITDA LIFO)***, including:</t>
  </si>
  <si>
    <t xml:space="preserve">  Unipetrol Group</t>
  </si>
  <si>
    <t xml:space="preserve">  ORLEN Lietuva Group</t>
  </si>
  <si>
    <t xml:space="preserve">  Energa</t>
  </si>
  <si>
    <t xml:space="preserve">  Other</t>
  </si>
  <si>
    <t>Operating Profit/(Loss) increased by depreciation and amortisation (EBITDA)***</t>
  </si>
  <si>
    <t>Depreciation and amortisation, including:</t>
  </si>
  <si>
    <t>Operating Profit/(Loss) under LIFO (EBIT LIFO)***, including:</t>
  </si>
  <si>
    <t>Operating Profit/(Loss) (EBIT)***</t>
  </si>
  <si>
    <t>Net Profit/(Loss)</t>
  </si>
  <si>
    <t>Net Profit/(Loss) attributable to equity owners of the Parent</t>
  </si>
  <si>
    <t>Total assets</t>
  </si>
  <si>
    <t>Equity</t>
  </si>
  <si>
    <t>Net debt</t>
  </si>
  <si>
    <t>Net cash - operating activities</t>
  </si>
  <si>
    <t>Net cash - investing activities</t>
  </si>
  <si>
    <t>Increases in non-current assets ****</t>
  </si>
  <si>
    <t>Net Profit/(Loss) attributable to equity owners of the Parent per share (EPS) [PLN/share]</t>
  </si>
  <si>
    <t>Effect of inventory valuation under LIFO
[PLN million]</t>
  </si>
  <si>
    <t>Effect of inventory valuation under LIFO on EBITDA, including:</t>
  </si>
  <si>
    <t>Unipetrol Group</t>
  </si>
  <si>
    <t>ORLEN Lietuva Group</t>
  </si>
  <si>
    <t>Other</t>
  </si>
  <si>
    <t>Zysk/(Strata) z działalności operacyjnej wg LIFO powiększona o amortyzację (EBITDA LIFO) przed odpisem aktualizującym**, ***, w tym:</t>
  </si>
  <si>
    <t>*) Refining, Petrochemical and Energy: restated data.</t>
  </si>
  <si>
    <t>***) In the 3 month period ended June 30, 2020 and in the 12 month period ended December 31, 2020 including provisional recognition of gain on bargain purchase of 80% shares of ENERGA in the amount of PLN 4 062 million. In the 3 month period ended September 30, 2022 including provisional recognition of gain on bargain purchase LOTOS in the amount of PLN 5 923 million.</t>
  </si>
  <si>
    <t>****) In accordance with IFRS 16 Leases, the "increase in non-current assets" item includes rights-of-use - in the interests of consistency, the data for the I quarter of 2019 were also updated.</t>
  </si>
  <si>
    <t>1) Includes Corporate Functions of the ORLEN Group companies as well as companies not included in any of the above segments.</t>
  </si>
  <si>
    <t>2) ROACE = profit from operations for the last four quarters after tax before impairment allowances of non-current assets / average capital employed (equity + net debt) for the last four quarters.</t>
  </si>
  <si>
    <t>3) ROACE LIFO = profit from operations for the last four quarters under LIFO after tax before impairment allowances of non-current assets /average capital employed (equity + net debt) for the last four quarters.</t>
  </si>
  <si>
    <t>4) Net financial leverage = net debt / equity – calculated at the end of the period.</t>
  </si>
  <si>
    <t xml:space="preserve">5) Covenants tested according to loan agreements excluding impairment of non-current assets. </t>
  </si>
  <si>
    <t>6) Interest bearing debt net of cash and cash equivalents at the end of the period / EBITDA LIFO based on the LIFO method for the last four quarters.</t>
  </si>
  <si>
    <t>7) Interest bearing debt net of cash and cash equivalents at the end of the period / EBITDA for the last four quarters.</t>
  </si>
  <si>
    <t>12 months
2019*</t>
  </si>
  <si>
    <t>Item, 
PLN million</t>
  </si>
  <si>
    <t>LIFO effect (Refining)</t>
  </si>
  <si>
    <t>LIFO effect (Petrochemical)</t>
  </si>
  <si>
    <t>Adjustments</t>
  </si>
  <si>
    <t>Depreciation</t>
  </si>
  <si>
    <t xml:space="preserve">Energy </t>
  </si>
  <si>
    <t>Impairment</t>
  </si>
  <si>
    <t>12 months
2019
before impairment allowances*/**</t>
  </si>
  <si>
    <t>12 months
2020
before impairment allowances**</t>
  </si>
  <si>
    <t>Q1
2021</t>
  </si>
  <si>
    <t>Q1
2021
before impairment allowances**</t>
  </si>
  <si>
    <t>Q2
2021</t>
  </si>
  <si>
    <t>Q2
2021
before impairment allowances**</t>
  </si>
  <si>
    <t>Q3
2021</t>
  </si>
  <si>
    <t>Q3
2021
before impairment allowances**</t>
  </si>
  <si>
    <t>Q4
2021</t>
  </si>
  <si>
    <t>Q4
2021
before impairment allowances**</t>
  </si>
  <si>
    <t>12 months
2021
before impairment allowances**</t>
  </si>
  <si>
    <t>Q1
2022
before impairment allowances**</t>
  </si>
  <si>
    <t>Q2
2022
before impairment allowances**</t>
  </si>
  <si>
    <t>Q3
2022
before impairment allowances**</t>
  </si>
  <si>
    <t>Q4
2022
before impairment allowances**</t>
  </si>
  <si>
    <t>12 months
2022
before impairment allowances**</t>
  </si>
  <si>
    <t>Q1
2023
before impairment allowances**</t>
  </si>
  <si>
    <t>Q2
2023
before impairment allowances**</t>
  </si>
  <si>
    <t>Q3
2023
before impairment allowances**</t>
  </si>
  <si>
    <t>Q4
2023
before impairment allowances**</t>
  </si>
  <si>
    <t>12 months
2023
before impairment allowances**</t>
  </si>
  <si>
    <t>Q1
2024
before impairment allowances**</t>
  </si>
  <si>
    <t>Q2
2024
before impairment allowances**</t>
  </si>
  <si>
    <t>Q3
2024
before impairment allowances**</t>
  </si>
  <si>
    <t>Q1
2020*</t>
  </si>
  <si>
    <t>Q1
2020
before impairment allowances*/**</t>
  </si>
  <si>
    <t>Q2
2020</t>
  </si>
  <si>
    <t>Q2
2020
before impairment allowances**</t>
  </si>
  <si>
    <t>Q3
2020</t>
  </si>
  <si>
    <t>Q3
2020
before impairment allowances**</t>
  </si>
  <si>
    <t>Q4
2020</t>
  </si>
  <si>
    <t>Q4
2020
before impairment allowances**</t>
  </si>
  <si>
    <t>Q4
2024
before impairment allowances**</t>
  </si>
  <si>
    <t>12 months
2024
before impairment allowances**</t>
  </si>
  <si>
    <t>Refining Segment</t>
  </si>
  <si>
    <t>External revenues</t>
  </si>
  <si>
    <t>Inter-segment revenues</t>
  </si>
  <si>
    <t>Total operating expenses</t>
  </si>
  <si>
    <t>Other operating income</t>
  </si>
  <si>
    <t>Other operating expenses</t>
  </si>
  <si>
    <t>Other operating income/expenses, net</t>
  </si>
  <si>
    <t>Share in profit from investments accounted for using the equity method</t>
  </si>
  <si>
    <t>Operating profit/(loss) under LIFO increased by depreciation and amortisation (EBITDA LIFO) before impairment allowances</t>
  </si>
  <si>
    <t>Operating profit/(loss) under LIFO increased by depreciation and amortisation (EBITDA LIFO)</t>
  </si>
  <si>
    <t>Operating profit/(loss) increased by depreciation and amortisation (EBITDA)</t>
  </si>
  <si>
    <t>Profit/(Loss) from operations under LIFO before impairment allowances</t>
  </si>
  <si>
    <t>Profit/(Loss) from operations under LIFO</t>
  </si>
  <si>
    <t>Profit/(Loss) from operations</t>
  </si>
  <si>
    <t>Increases in non-current assets</t>
  </si>
  <si>
    <t>Sales (thousand tonnes)</t>
  </si>
  <si>
    <t>*) Restated data.</t>
  </si>
  <si>
    <t>Petrochemical Segment</t>
  </si>
  <si>
    <t>Q1
2019*</t>
  </si>
  <si>
    <t>Q2
2019*</t>
  </si>
  <si>
    <t>Q3
2019*</t>
  </si>
  <si>
    <t>Q4
2019*</t>
  </si>
  <si>
    <t>Q1
2021*</t>
  </si>
  <si>
    <t>I kw.
2019
przed odpisem*,**</t>
  </si>
  <si>
    <t>Q1
2019
before impairment allowances*/**</t>
  </si>
  <si>
    <t>Q2
2019</t>
  </si>
  <si>
    <t>Q2
2019
before impairment allowances**</t>
  </si>
  <si>
    <t>Q3
2019
before impairment allowances*/**</t>
  </si>
  <si>
    <t>Q4
2019
before impairment allowances*/**</t>
  </si>
  <si>
    <t>Q1
2020</t>
  </si>
  <si>
    <t>Q2
2020*</t>
  </si>
  <si>
    <t>Operating profit/(loss) increased by depreciation and amortisation (EBITDA) before impairment allowances**</t>
  </si>
  <si>
    <t>Operating profit/(loss) increased by depreciation and amortisation (EBITDA)**</t>
  </si>
  <si>
    <t>Profit/(Loss) from operations before impairment allowances**</t>
  </si>
  <si>
    <t>Profit/(Loss) from operations**</t>
  </si>
  <si>
    <t>**) In the 3 month period ended June 30, 2020 including provisional recognition of gain on bargain purchase of 80% shares of ENERGA in the amount of PLN 4 062 million.</t>
  </si>
  <si>
    <t>Operating profit/(loss) increased by depreciation and amortisation (EBITDA) before impairment allowances</t>
  </si>
  <si>
    <t>Increases in non-current assets **</t>
  </si>
  <si>
    <t xml:space="preserve">*) Restated data – change in consolidation method for Basell ORLEN Polyolefines Sp. z o.o. and Płocki Park Przemysłowo-Technologiczny S.A. in accordance with IFRS 11. </t>
  </si>
  <si>
    <t>**) In accordance with IFRS 16 Leases, the "increase in non-current assets" item includes rights-of-use - in the interests of consistency, the data for the I quarter of 2019 were also updated.</t>
  </si>
  <si>
    <t>kategoria</t>
  </si>
  <si>
    <t>Q1
2013 *</t>
  </si>
  <si>
    <t>Q2
2013 *</t>
  </si>
  <si>
    <t>Q3
2013 *</t>
  </si>
  <si>
    <t>Q4
2013 *</t>
  </si>
  <si>
    <t>12 months
2013 *</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</si>
  <si>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</si>
  <si>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</si>
  <si>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</si>
  <si>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</si>
  <si>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</si>
  <si>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</si>
  <si>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</si>
  <si>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</si>
  <si>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</si>
  <si>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</si>
  <si>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</si>
  <si>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</si>
  <si>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</si>
  <si>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</si>
  <si>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</si>
  <si>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</si>
  <si>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</si>
  <si>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</si>
  <si>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</si>
  <si>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</si>
  <si>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</si>
  <si>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Q3
2019</t>
  </si>
  <si>
    <t>Q4
2019</t>
  </si>
  <si>
    <t>Upstream Segment</t>
  </si>
  <si>
    <t>Profit/(Loss) from operations before impairment allowances</t>
  </si>
  <si>
    <t>**) In accordance with IFRS 16 Leases, the "increase in non-current assets" item includes rights-of-use.</t>
  </si>
  <si>
    <t>Gas Segment</t>
  </si>
  <si>
    <t>gain on bargain purchase of the LOTOS Group and PGNIG Group</t>
  </si>
  <si>
    <t>Corporate Functions</t>
  </si>
  <si>
    <t>Consolidated statement of profit or loss and other comprehensive income</t>
  </si>
  <si>
    <t>revenues from sales of finished goods and services</t>
  </si>
  <si>
    <t>revenues from sales of merchandise and raw materials</t>
  </si>
  <si>
    <t>Cost of sales</t>
  </si>
  <si>
    <t>cost of finished goods and services sold</t>
  </si>
  <si>
    <t>cost of merchandise and raw materials sold</t>
  </si>
  <si>
    <t>Gross profit/(loss) on sales</t>
  </si>
  <si>
    <t>Distribution expenses</t>
  </si>
  <si>
    <t>Administrative expenses</t>
  </si>
  <si>
    <t>Other operating income**</t>
  </si>
  <si>
    <t>gain on bargain purchase of the LOTOS Group and of the PGNiG Group</t>
  </si>
  <si>
    <t>(Loss)/reversal due to impairment of trade receivables</t>
  </si>
  <si>
    <t>Share in profit from investments accounted for under equity method</t>
  </si>
  <si>
    <t>Finance income</t>
  </si>
  <si>
    <t>Finance costs</t>
  </si>
  <si>
    <t>Net finance income and costs</t>
  </si>
  <si>
    <t>(Loss)/reversal of loss due to impairment of loans and interest on trade receivables</t>
  </si>
  <si>
    <t>Profit/(Loss) before tax</t>
  </si>
  <si>
    <t>Tax expense</t>
  </si>
  <si>
    <t>Net profit/(loss)</t>
  </si>
  <si>
    <t>Other comprehensive income:</t>
  </si>
  <si>
    <t>which will not be reclassified subsequently into profit or loss</t>
  </si>
  <si>
    <t>fair value measurement of investment property as at the date of reclassification</t>
  </si>
  <si>
    <t>actuarial gains and losses</t>
  </si>
  <si>
    <t>gains/(losses) on investments in equity instruments at fair value through other comprehensive income</t>
  </si>
  <si>
    <t>deferred tax</t>
  </si>
  <si>
    <t>which will be reclassified into profit or loss</t>
  </si>
  <si>
    <t>hedging instruments</t>
  </si>
  <si>
    <t>hedging costs</t>
  </si>
  <si>
    <t>exchange differences on translating foreign operations</t>
  </si>
  <si>
    <t>share in other comprehensive income of investments accounted for using the equity method</t>
  </si>
  <si>
    <t>Total net comprehensive income</t>
  </si>
  <si>
    <t>Net profit/(loss) attributable to</t>
  </si>
  <si>
    <t>equity owners of the parent</t>
  </si>
  <si>
    <t>non-controlling interest</t>
  </si>
  <si>
    <t xml:space="preserve"> </t>
  </si>
  <si>
    <t>Total net comprehensive income attributable to</t>
  </si>
  <si>
    <t>Net profit/(loss) and diluted net profit/(loss) per share attributable to equity owners of the parent (in PLN per share)</t>
  </si>
  <si>
    <t>**)  In the 3 month period ended June 30, 2020 and in the 12 month period ended December 31, 2020 including provisional recognition of gain on bargain purchase of 80% shares of ENERGA in the amount of PLN 4 062 million.</t>
  </si>
  <si>
    <t>Q2
2021*</t>
  </si>
  <si>
    <t>Consolidated statement of financial position</t>
  </si>
  <si>
    <t>ASSETS</t>
  </si>
  <si>
    <t>Property, plant and equipment</t>
  </si>
  <si>
    <t>Intangible assets and goodwill</t>
  </si>
  <si>
    <t>Rights of use assets</t>
  </si>
  <si>
    <t>Investments accounted for using the equity method</t>
  </si>
  <si>
    <t>Deferred tax assets</t>
  </si>
  <si>
    <t xml:space="preserve">Derivatives </t>
  </si>
  <si>
    <t xml:space="preserve">Long-term lease receivables </t>
  </si>
  <si>
    <t>Other assets</t>
  </si>
  <si>
    <t>Non-current assets</t>
  </si>
  <si>
    <t>Inventories</t>
  </si>
  <si>
    <t>Trade and other receivables</t>
  </si>
  <si>
    <t>Current tax assets</t>
  </si>
  <si>
    <t>Cash</t>
  </si>
  <si>
    <t>Short-term lease receivables</t>
  </si>
  <si>
    <t>Assets classified as held for sale</t>
  </si>
  <si>
    <t>Current assets</t>
  </si>
  <si>
    <t>EQUITY AND LIABILITIES</t>
  </si>
  <si>
    <t>EQUITY</t>
  </si>
  <si>
    <t>Share capital</t>
  </si>
  <si>
    <t>Share premium</t>
  </si>
  <si>
    <t>Hedging reserve</t>
  </si>
  <si>
    <t>Revaluation reserve</t>
  </si>
  <si>
    <t>Exchange differences on translating foreign operations</t>
  </si>
  <si>
    <t>Retained earnings</t>
  </si>
  <si>
    <t>Equity attributable to equity owners of the parent</t>
  </si>
  <si>
    <t>Non-controlling interests</t>
  </si>
  <si>
    <t>Total equity</t>
  </si>
  <si>
    <t>LIABILITIES</t>
  </si>
  <si>
    <t>Loans, borrowings and bonds</t>
  </si>
  <si>
    <t>Provisions</t>
  </si>
  <si>
    <t>Deferred tax liabilities</t>
  </si>
  <si>
    <t>Lease liabilities</t>
  </si>
  <si>
    <t>Other liabilities</t>
  </si>
  <si>
    <t>Liabilities from contracts with customers</t>
  </si>
  <si>
    <t>Non-current liabilities</t>
  </si>
  <si>
    <t>Trade and other liabilities</t>
  </si>
  <si>
    <t>Current tax liabilities</t>
  </si>
  <si>
    <t>Current liabilities</t>
  </si>
  <si>
    <t>Total liabilities</t>
  </si>
  <si>
    <t>Total equity and liabilities</t>
  </si>
  <si>
    <t>Consolidated statement of cash flows</t>
  </si>
  <si>
    <t>Cash flows from operating activities</t>
  </si>
  <si>
    <t>Adjustments for:</t>
  </si>
  <si>
    <t>Depreciation and amortisation</t>
  </si>
  <si>
    <t>Foreign exchange (profit)/loss</t>
  </si>
  <si>
    <t>Net interest</t>
  </si>
  <si>
    <t>Dividends</t>
  </si>
  <si>
    <t>(Profit)/Loss on investing activities</t>
  </si>
  <si>
    <t>Change in provisions</t>
  </si>
  <si>
    <t>Change in working capital</t>
  </si>
  <si>
    <t>inventories</t>
  </si>
  <si>
    <t>receivables</t>
  </si>
  <si>
    <t>liabilities</t>
  </si>
  <si>
    <t>Other adjustments, incl.:</t>
  </si>
  <si>
    <t>settlement of grants for property rights</t>
  </si>
  <si>
    <t>security deposits</t>
  </si>
  <si>
    <t>derivatives</t>
  </si>
  <si>
    <t>change in assets and liabilities due to contracts valued at the time of settlement of business combination</t>
  </si>
  <si>
    <t>Income tax (paid)</t>
  </si>
  <si>
    <t>Net cash from operating activities</t>
  </si>
  <si>
    <t>Cash flows from investing activities</t>
  </si>
  <si>
    <t>Acquisition of property, plant and equipment, intangible assets and rights of use assets</t>
  </si>
  <si>
    <t>Proceeds from the sale of shares in connection with the implementation of REMEDIES</t>
  </si>
  <si>
    <t>Disposal of property, plant and equipment, intangible assets and right-of-use asset</t>
  </si>
  <si>
    <t>Recapitalisation in investments in joint ventures</t>
  </si>
  <si>
    <t>Interest received</t>
  </si>
  <si>
    <t>Dividends received</t>
  </si>
  <si>
    <t>(Outflows) net cash from loans</t>
  </si>
  <si>
    <t>Acquisition of shares lowered by cash</t>
  </si>
  <si>
    <t>Net cash (used) in investing activities</t>
  </si>
  <si>
    <t>Cash flows from financing activities</t>
  </si>
  <si>
    <t>Proceeds from loans and  borrowings received</t>
  </si>
  <si>
    <t>Repayment of loans and borrowings</t>
  </si>
  <si>
    <t>Redemption of bonds</t>
  </si>
  <si>
    <t>Interest paid from loans, borrowings and bonds</t>
  </si>
  <si>
    <t>Interest paid on lease</t>
  </si>
  <si>
    <t>Dividends paid</t>
  </si>
  <si>
    <t>Payments of liabilities under lease agreements</t>
  </si>
  <si>
    <t>Grants received</t>
  </si>
  <si>
    <t>Net cash (used) in financing activities</t>
  </si>
  <si>
    <t>Net increase/(decrease) in cash</t>
  </si>
  <si>
    <t>Effect of changes in exchange rates</t>
  </si>
  <si>
    <t>Cash, beginning of the period</t>
  </si>
  <si>
    <t>Cash, end of the period</t>
  </si>
  <si>
    <t>including restricted cash</t>
  </si>
  <si>
    <t>Production volume</t>
  </si>
  <si>
    <t>Production
(‘000 tonnes)</t>
  </si>
  <si>
    <t>Crude oil throughput</t>
  </si>
  <si>
    <t>Refinery production</t>
  </si>
  <si>
    <t>Light distillates, including:</t>
  </si>
  <si>
    <t>- gasolines</t>
  </si>
  <si>
    <t>Medium distillates, including:</t>
  </si>
  <si>
    <t>- diesel oil</t>
  </si>
  <si>
    <t>- light heating oil</t>
  </si>
  <si>
    <t>- jet fuel</t>
  </si>
  <si>
    <t>Heavy fractions, including:</t>
  </si>
  <si>
    <t>- heavy heating oil</t>
  </si>
  <si>
    <t>- asphalt</t>
  </si>
  <si>
    <t>- oils</t>
  </si>
  <si>
    <t>Petrochemical production</t>
  </si>
  <si>
    <t>Monomers, including:</t>
  </si>
  <si>
    <t>- ethylene</t>
  </si>
  <si>
    <t>- propylene</t>
  </si>
  <si>
    <t>Polymers, including:</t>
  </si>
  <si>
    <t>- polyethylene</t>
  </si>
  <si>
    <t>- polypropylene</t>
  </si>
  <si>
    <t>Aromas, including:</t>
  </si>
  <si>
    <t>- benzene</t>
  </si>
  <si>
    <t>- toluene</t>
  </si>
  <si>
    <t>- paraxylene</t>
  </si>
  <si>
    <t>- ortoxylene</t>
  </si>
  <si>
    <t>Fertilizers, including:</t>
  </si>
  <si>
    <t>- CANWIL</t>
  </si>
  <si>
    <t>- amonium nitrate</t>
  </si>
  <si>
    <t>- amonium sulphate</t>
  </si>
  <si>
    <t>- other fertilizers</t>
  </si>
  <si>
    <t>Plastics, including:</t>
  </si>
  <si>
    <t>- PVC</t>
  </si>
  <si>
    <t>- PVC granulate</t>
  </si>
  <si>
    <t>Total production</t>
  </si>
  <si>
    <t>ORLEN
Group</t>
  </si>
  <si>
    <t>Unipetrol
Group</t>
  </si>
  <si>
    <t>Anwil
Group</t>
  </si>
  <si>
    <t xml:space="preserve">ORLEN S.A. </t>
  </si>
  <si>
    <t>Rok 2024</t>
  </si>
  <si>
    <t>12 months 2020</t>
  </si>
  <si>
    <t>12 months 2021</t>
  </si>
  <si>
    <t>12 months 2022</t>
  </si>
  <si>
    <t>12 months 2023</t>
  </si>
  <si>
    <t>12 months 2024</t>
  </si>
  <si>
    <t>Sales volume</t>
  </si>
  <si>
    <t>Sales
(‘000 tonnes)</t>
  </si>
  <si>
    <t>Retail Segment</t>
  </si>
  <si>
    <t>Crude oil</t>
  </si>
  <si>
    <t>Natural gas</t>
  </si>
  <si>
    <t>LNG gas</t>
  </si>
  <si>
    <t>ORLEN Group - total</t>
  </si>
  <si>
    <t>Produkcja gazu (mld m3)</t>
  </si>
  <si>
    <t>Sprzedaż gazu zaazotowanego (poza GK ORLEN) bezpośrednio do klientów ze źródeł lokalnych w Polsce (w mld m3)</t>
  </si>
  <si>
    <t>Sprzedaż gazu poza Grupę ORLEN (mld m3)</t>
  </si>
  <si>
    <t>Importu do Polski (mld m3)</t>
  </si>
  <si>
    <t>Sprzedaż poza Grupę ORLEN (mld m3)</t>
  </si>
  <si>
    <t>Sprzedaż wewnętrz Grupy ORLEN (mld m3)</t>
  </si>
  <si>
    <t>Wolumen dystrybucji gazów (mld m3)</t>
  </si>
  <si>
    <t>Selected operating data for Energy, Upstream ang Gas Segment</t>
  </si>
  <si>
    <t>2P reserves at the end of period (million boe)</t>
  </si>
  <si>
    <t>Norway</t>
  </si>
  <si>
    <t>Canada</t>
  </si>
  <si>
    <t>CRUDE OIL AND CONDENSATE</t>
  </si>
  <si>
    <t>Crude oil and condensate production (‘000 boe)</t>
  </si>
  <si>
    <t>Crude oil and condensate sales outside ORLEN Group (‘000 boe)</t>
  </si>
  <si>
    <t>NATURAL GAS</t>
  </si>
  <si>
    <t>Natural gas production (‘000 boe)</t>
  </si>
  <si>
    <t>Natural gas production (TWh)</t>
  </si>
  <si>
    <t>Natural gas production (billion m3)</t>
  </si>
  <si>
    <t>Nitrogen-rich gas production sold from local sources located in Poland (‘000 boe)</t>
  </si>
  <si>
    <t>Nitrogen-rich gas production sold from local sources located in Poland (TWh)</t>
  </si>
  <si>
    <t>Nitrogen-rich gas production sold from local sources located in Poland (billion m3)</t>
  </si>
  <si>
    <t>Natural gas sales outside ORLEN Group (‘000 boe)</t>
  </si>
  <si>
    <t>Natural gas sales outside ORLEN Group (TWh)</t>
  </si>
  <si>
    <t>Natural gas sales outside ORLEN Group (billion m3)</t>
  </si>
  <si>
    <t>Import to Poland (TWh)</t>
  </si>
  <si>
    <t xml:space="preserve">   - from eastern direction, including:</t>
  </si>
  <si>
    <t>Ukraine</t>
  </si>
  <si>
    <t xml:space="preserve">   - LNG total, including:</t>
  </si>
  <si>
    <t xml:space="preserve">   - LNG (contract based on Henry hub)</t>
  </si>
  <si>
    <t xml:space="preserve">   - Interconnectors</t>
  </si>
  <si>
    <t>Import to Poland (billion m3)</t>
  </si>
  <si>
    <t xml:space="preserve">   - LNG total, including</t>
  </si>
  <si>
    <t xml:space="preserve">   - LNG Henry hub</t>
  </si>
  <si>
    <t>Sales outside ORLEN Group (TWh)</t>
  </si>
  <si>
    <t>to Towarowa Giełda Energii</t>
  </si>
  <si>
    <t>to industry</t>
  </si>
  <si>
    <t>Sales within ORLEN Group (TWh)</t>
  </si>
  <si>
    <t>Sales outside ORLEN Group (billion m3)</t>
  </si>
  <si>
    <t>Sales within ORLEN Group  (billion m3)</t>
  </si>
  <si>
    <t>Distribution (TWh)</t>
  </si>
  <si>
    <t>Distribution (billion m3)</t>
  </si>
  <si>
    <t>Closing level of natural gas stock in storage facilities (TWh)</t>
  </si>
  <si>
    <t>Closing level of natural gas stock in storage facilities (billion m3)</t>
  </si>
  <si>
    <t>Energy Segment</t>
  </si>
  <si>
    <t>ELECTRIC ENERGY</t>
  </si>
  <si>
    <t>Installed capacity (GWe)</t>
  </si>
  <si>
    <t xml:space="preserve">  RES</t>
  </si>
  <si>
    <t xml:space="preserve">  Natural gas</t>
  </si>
  <si>
    <t xml:space="preserve">  Heating oil</t>
  </si>
  <si>
    <t xml:space="preserve">  Coal</t>
  </si>
  <si>
    <t>Production (TWh)</t>
  </si>
  <si>
    <t xml:space="preserve">Sales outside ORLEN Group (TWh) </t>
  </si>
  <si>
    <t xml:space="preserve"> - on retail market</t>
  </si>
  <si>
    <t xml:space="preserve"> - on wholesale market</t>
  </si>
  <si>
    <t xml:space="preserve">Sales within ORLEN Group (TWh) </t>
  </si>
  <si>
    <t>HEAT</t>
  </si>
  <si>
    <t>Installed capacity (GWt)</t>
  </si>
  <si>
    <t>Production (PJ)</t>
  </si>
  <si>
    <t>Sales outside ORLEN Group (PJ)</t>
  </si>
  <si>
    <t>Zysk/(Strata) z działalności operacyjnej wg LIFO powiększona o amortyzację (EBITDA LIFO) przed odpisem aktualizującym**, w tym:</t>
  </si>
  <si>
    <t>kluczowe dane fin '13-'19</t>
  </si>
  <si>
    <t>Operating Profit/(Loss) under LIFO increased by depreciation and amortisation (EBITDA LIFO) before impairment allowances **, including:</t>
  </si>
  <si>
    <t>Operating Profit/(Loss) under LIFO increased by depreciation and amortisation (EBITDA LIFO), including:</t>
  </si>
  <si>
    <t>Operating Profit/(Loss) increased by depreciation and amortisation (EBITDA)</t>
  </si>
  <si>
    <t>Operating Profit/(Loss) under LIFO (EBIT LIFO), including:</t>
  </si>
  <si>
    <t>Operating Profit/(Loss) (EBIT)</t>
  </si>
  <si>
    <t>*) Restated data – change of consolidation method in accordance to IFRS 11 for Basell ORLEN Polyolefines Sp. z o.o. and Płocki Park Przysłowo-Technologiczny S.A. which are accounted for under the equity method instead of proportionate consolidation method.</t>
  </si>
  <si>
    <t>*) Dane przekształcone – zmiana metody konsolidacji spółek Basell ORLEN Polyolefines Sp. z o.o. i Płocki Park Przemysłowo Technologiczny S.A. z metody proporcjonalnej na metodę praw własności zgodnie z MSSF 11.</t>
  </si>
  <si>
    <t>**) Odpisy aktualizujące wartość aktywów trwałych ujęte w:                                                                                                                                                                                                                                                                                                                                                                                                                                                                                                                                                                                                                                                                                  -  II kwartale 2014 roku w wysokości (5,0) mld PLN dotyczyły głównie rafinerii ORLEN Lietuva w kwocie (4,2) mld PLN, części rafineryjnej GrupyUnipetrol w kwocie (0,7) mld PLN oraz Spolana z Grupy Anwil i Grupy Rafinerii Jedlicze w łącznej wysokości (0,1) mld PLN,                                                                                                                                                                                                                                                                                                                                                                                                              - IV kwartale 2014 roku w wysokości (0,3) mld PLN dotyczące działalności Grupy ORLEN Upstream w Kanadzie,
- II kwartale 2015 roku w wysokości (0,4) mld PLN dotyczące głównie aktywów Grupy ORLEN Upstream,
- III kwartale 2015 roku w wysokości (0,1) mld PLN dotyczące głównie części petrochemicznej Grupy Unipetrol,
- IV kwartale 2015 roku w wysokości (0,4) mld PLN dotyczące aktywów poszukiwawczych Grupy ORLEN Upstream w Kanadzie,
- IV kwartale 2016 roku w wysokości 0,2 mld PLN dotyczące głównie części rafineryjnej Grupy Unipetrol w kwocie 0,3 mld PLN, działalności poszukiwawczej Grupy ORLEN Upstream w Polsce i Grupy ORLEN Oil w łącznej wysokości (0,1) mld PLN,
- IV kwartale 2017 roku w wysokości (0,1) mld PLN dotyczące głównie działalności poszukiwawczej Grupy ORLEN Upstream w Polsce,
- IV kwartale 2018 roku w wysokości 0,7 mld PLN dotyczące głównie aktywów segmentu downstream w Grupie Unipetrol,
- III kwartale 2019 roku w wysokości (0,1) mld PLN dotyczące głównie działalności poszukiwawczej Grupy ORLEN Upstream w Polsce.
- IV kwartale 2019 roku w wysokości (0,1) mld PLN dotyczące głównie działalności poszukiwawczej Grupy ORLEN Upstream w Polsce.
- I kwartale 2020 roku w wysokości (0,5) mld PLN dotyczące głównie aktywów Grupy ORLEN Upstream.</t>
  </si>
  <si>
    <t>Dług netto/Wynik z działalności operacyjnej wg LIFO powiększony o amortyzację z ostatnich czterech kwartałów  (EBITDA LIFO) 6)</t>
  </si>
  <si>
    <t>Net debt/Profit from operations under LIFO plus depreciation and amortisation for the last four quarters (EBITDA LIFO) 6)</t>
  </si>
  <si>
    <t>Dług netto/Wynik z działalności operacyjnej powiększony o amortyzację z ostatnich czterech kwartałów  (EBITDA) 7)</t>
  </si>
  <si>
    <t>Net debt/Profit from operations plus depreciation and amortisation for the last four quarters (EBITDA) 7)</t>
  </si>
  <si>
    <t>***) In the 12 months of 2018, the Group adjusted in the line penalties and compensations penalties received for improper execution of the contract of the power plant CCGT in Płock in the amount of PLN 190 million, and adjusted the purchase price of non-current asset.</t>
  </si>
  <si>
    <t>****) Zgodnie z MSSF 16 Leasing w pozycji zwiększenie aktywów trwałych ujęto wartość praw do użytkowania w celu zachowania spójności zaktualizowano również dane za I kwartał 2019.</t>
  </si>
  <si>
    <t>**) Impairment allowances of non-current assets included in: 
- II quarter of 2014 in the amount of PLN (5.0) billion concerned mainly ORLEN Lietuva of PLN (4.2) billion, refinery part in Unipetrol Group of PLN (0.7) billion and in Spolana from Anwil Group and Rafineria Jedlicze Group in total of PLN (0.1) billion,
- IV quarter of 2014 of PLN in the amount of PLN (0.3) billion regarding ORLEN Upstream Group activities in Canada,
- II quarter of 2015 in the amount of PLN (0.4) billion mainly regarding assets of ORLEN Upstream Group,
- III quarter of 2015 in the amount of PLN (0.1) billion mainly regarding petrochemical part in Unipetrol Group,
- IV quarter of 2015 in the amount of PLN (0.4) billion mainly regarding upstream assets of ORLEN Upstream in Canada,
- IV quarter of 2016 in the amount of PLN 0.2 billion concerned mainly refinery part in Unipetrol Group of PLN 0.3 billion, regarding ORLEN Upstream Group activities in Poland and ORLEN Oil Group in total of PLN (0.1) billion,
- IV quarter of 2017 of PLN in the amount of PLN (0.1) billion regarding ORLEN Upstream Group activities in Poland,
- IV quarter of 2018 of PLN in the amount of PLN 0.7 billion mainly regarding downstream part in Unipetrol Group,
- III quarter of 2019 of PLN in the amount of PLN (0.1) billion regarding ORLEN Upstream Group activities in Poland,
- IV quarter of 2019 of PLN in the amount of PLN (0.1) billion regarding ORLEN Upstream Group activities in Poland,
- I quarter of 2020 in the amount of PLN (0.5) billion mainly regarding assets of ORLEN Upstream Group.</t>
  </si>
  <si>
    <t>1) impairment allowances of assets according to IAS 36</t>
  </si>
  <si>
    <t>2)  In the 12 months of 2018, the Group adjusted in the line penalties and compensations penalties received for improper execution of the contract of the power plant CCGT in Płock in the amount of PLN 190 million, and adjusted the purchase price of non-current asset.</t>
  </si>
  <si>
    <t>EBITDA, EBIT '13-'19</t>
  </si>
  <si>
    <t>III kw.
2017
przed odpisem1</t>
  </si>
  <si>
    <t>IV kw.
2017
przed odpisem1</t>
  </si>
  <si>
    <t>12 m-cy
2017
przed odpisem1</t>
  </si>
  <si>
    <t>I kw.
2018
przed odpisem1</t>
  </si>
  <si>
    <t>II kw.
2018
przed odpisem1</t>
  </si>
  <si>
    <t>III kw.
2018
przed odpisem1</t>
  </si>
  <si>
    <t>IV kw.
20182</t>
  </si>
  <si>
    <t>IV kw.
2018
przed odpisem1,2</t>
  </si>
  <si>
    <t>12 m-cy
20182</t>
  </si>
  <si>
    <t>12 m-cy
2018
przed odpisem1,2</t>
  </si>
  <si>
    <t>I kw.
2019
przed odpisem1</t>
  </si>
  <si>
    <t>II kw.
2019
przed odpisem1</t>
  </si>
  <si>
    <t>III kw.
2019
przed odpisem1</t>
  </si>
  <si>
    <t>IV kw.
2019
przed odpisem1</t>
  </si>
  <si>
    <t>12 m-cy
2019
przed odpisem1</t>
  </si>
  <si>
    <t>I kw.
2020
przed odpisem1</t>
  </si>
  <si>
    <t>Q1
2013</t>
  </si>
  <si>
    <t>Q2
2013</t>
  </si>
  <si>
    <t>Q3
2013</t>
  </si>
  <si>
    <t>Q4
2013</t>
  </si>
  <si>
    <t>IV kw.
2018           2)</t>
  </si>
  <si>
    <t>Q4
2018                 2)</t>
  </si>
  <si>
    <t>12 m-cy
2018                      2)</t>
  </si>
  <si>
    <t>12 months
2018                  2)</t>
  </si>
  <si>
    <t>IV kw.
2018
przed odpisem       1),2)</t>
  </si>
  <si>
    <t>Q4
2018
before impairment allowances       1),2)</t>
  </si>
  <si>
    <t>12 m-cy
2018
przed odpisem           1),2)</t>
  </si>
  <si>
    <t>12 months
2018
before impairment allowances              1),2)</t>
  </si>
  <si>
    <t>IV kw.
2019
przed odpisem    1)</t>
  </si>
  <si>
    <t>Q4
2019
before impairment allowances   1)</t>
  </si>
  <si>
    <t>12 m-cy
2019
przed odpisem    1)</t>
  </si>
  <si>
    <t>12 months
2019
before impairment allowances    1)</t>
  </si>
  <si>
    <t>Q4
2018
before impairment allowances   1)</t>
  </si>
  <si>
    <t>12 months
2018
before impairment allowances   1)</t>
  </si>
  <si>
    <t>IV kw.
2018
przed odpisem   1)</t>
  </si>
  <si>
    <t>12 m-cy
2018
przed odpisem   1)</t>
  </si>
  <si>
    <t>Downstream Segment</t>
  </si>
  <si>
    <t>Segment revenues</t>
  </si>
  <si>
    <t>Operating expenses</t>
  </si>
  <si>
    <t>(Loss)/reversal of loss due to impairment of financial instruments</t>
  </si>
  <si>
    <t>Increases in non-current assets ***</t>
  </si>
  <si>
    <t>**)  In the 12 months of 2018, the Group adjusted in the line penalties and compensations penalties received for improper execution of the contract of the power plant CCGT in Płock in the amount of PLN 190 million, and adjusted the purchase price of non-current asset.</t>
  </si>
  <si>
    <t>***) In accordance with IFRS 16 Leases, the "increase in non-current assets" item includes rights-of-use - in the interests of consistency, the data for the I quarter of 2019 were also updated.</t>
  </si>
  <si>
    <t>12 months
2018 **</t>
  </si>
  <si>
    <t>Statement of profit or loss</t>
  </si>
  <si>
    <t>Gross profit on sales</t>
  </si>
  <si>
    <t>Items of other comprehensive income:</t>
  </si>
  <si>
    <t>which will not be reclassified into profit or loss</t>
  </si>
  <si>
    <t>which were or will be reclassified into profit or loss</t>
  </si>
  <si>
    <t xml:space="preserve">     hedging instruments</t>
  </si>
  <si>
    <t>Total items of other comprehensive income</t>
  </si>
  <si>
    <t>Profit from operations</t>
  </si>
  <si>
    <t>Profit before tax</t>
  </si>
  <si>
    <t>current tax</t>
  </si>
  <si>
    <t>Net profit</t>
  </si>
  <si>
    <t>Net profit attributable to</t>
  </si>
  <si>
    <t>Net profit and diluted net profit per share attributable to equity owners of the parent (in PLN per share)</t>
  </si>
  <si>
    <t>*)  In the 12 and 3 month period ended 2018, the Group adjusted in the line penalties and compensations penalties received for improper execution of the contract of the power plant CCGT in Płock in the amount of PLN 190 million, and adjusted the purchase price of non-current asset.</t>
  </si>
  <si>
    <t xml:space="preserve"> '13-'17</t>
  </si>
  <si>
    <t xml:space="preserve">  '18</t>
  </si>
  <si>
    <t xml:space="preserve"> '13 - '15</t>
  </si>
  <si>
    <t>Investment property</t>
  </si>
  <si>
    <t>Intangible assets</t>
  </si>
  <si>
    <t>Perpetual usufruct of land</t>
  </si>
  <si>
    <t>Investments accounted for under equity method</t>
  </si>
  <si>
    <t>Financial assets available for sale</t>
  </si>
  <si>
    <t>Other financial assets</t>
  </si>
  <si>
    <t>Cash and cash equivalents</t>
  </si>
  <si>
    <t>Non-current assets classified as held for sale</t>
  </si>
  <si>
    <t>Foreign exchange differences on subsidiaries from consolidation</t>
  </si>
  <si>
    <t>Total equity attributable to equity owners of the parent</t>
  </si>
  <si>
    <t>Non-controlling interest</t>
  </si>
  <si>
    <t xml:space="preserve">Provisions </t>
  </si>
  <si>
    <t>Deferred income</t>
  </si>
  <si>
    <t>Other financial liabilities</t>
  </si>
  <si>
    <t>Loans and borrowings</t>
  </si>
  <si>
    <t>Liabilities directly associated with assets classified as held for sale</t>
  </si>
  <si>
    <t xml:space="preserve">  '16</t>
  </si>
  <si>
    <t>Equity attributable to owners of the parent</t>
  </si>
  <si>
    <t>Liabilities directly associated with assets classified 
as held for sale</t>
  </si>
  <si>
    <t xml:space="preserve"> '17 - '18</t>
  </si>
  <si>
    <t>Derivatives</t>
  </si>
  <si>
    <t>Loans and bonds</t>
  </si>
  <si>
    <t>13 - '15</t>
  </si>
  <si>
    <t>Cash flows – operating activities</t>
  </si>
  <si>
    <t xml:space="preserve">Net profit/(Loss) </t>
  </si>
  <si>
    <t>Foreign exchange (gain)/loss</t>
  </si>
  <si>
    <t>Interest, net</t>
  </si>
  <si>
    <t>Other adjustments</t>
  </si>
  <si>
    <t>Net cash provided by/(used in) operating activities</t>
  </si>
  <si>
    <t>Cash flows – investing activities</t>
  </si>
  <si>
    <t>Acquisition of property, plant and equipment, intangible assets and perpetual usufruct of land</t>
  </si>
  <si>
    <t>Disposal of property, plant and equipment, intangible assets and perpetual usufruct of land</t>
  </si>
  <si>
    <t>Acquisition of shares</t>
  </si>
  <si>
    <t>Disposal of shares</t>
  </si>
  <si>
    <t>Acquisition of securities and deposits</t>
  </si>
  <si>
    <t>Disposal of securities and deposits</t>
  </si>
  <si>
    <t>Deposits, net</t>
  </si>
  <si>
    <t>Proceeds/(Outflows) from borrowings granted</t>
  </si>
  <si>
    <t>Proceeds from loans and borrowings received</t>
  </si>
  <si>
    <t>Debt securities issued</t>
  </si>
  <si>
    <t>Repurchase of debt securities</t>
  </si>
  <si>
    <t xml:space="preserve">Interest paid </t>
  </si>
  <si>
    <t>Dividend paid</t>
  </si>
  <si>
    <t>Payments of liabilities under finance lease agreements</t>
  </si>
  <si>
    <t>Grands received</t>
  </si>
  <si>
    <t xml:space="preserve">Other </t>
  </si>
  <si>
    <t>Net cash provided by/(used in) financing activities</t>
  </si>
  <si>
    <t>Net (decrease) in cash and cash equivalents</t>
  </si>
  <si>
    <t>Effect of exchange rate changes</t>
  </si>
  <si>
    <t>Cash and cash equivalents, beginning of the period</t>
  </si>
  <si>
    <t>Cash and cash equivalents, end of the period</t>
  </si>
  <si>
    <t xml:space="preserve"> '16 - '17</t>
  </si>
  <si>
    <t>recognition/(reversal) of impairment allowances of property, plant and equipment and intangible assets</t>
  </si>
  <si>
    <t xml:space="preserve">change in balances of settlements due to compensation from insurers in Unipetrol Group
</t>
  </si>
  <si>
    <t>rights granted free of charge</t>
  </si>
  <si>
    <t>Acquisition of shares adjusted for received cash</t>
  </si>
  <si>
    <t>Sale of subsidiary</t>
  </si>
  <si>
    <t>Settlement of instruments not subject to hedge accounting</t>
  </si>
  <si>
    <t>Bonds issued</t>
  </si>
  <si>
    <t>Repayments of loans and borrowings</t>
  </si>
  <si>
    <t>Interest paid</t>
  </si>
  <si>
    <t>Net cash from / (used in) financing activities</t>
  </si>
  <si>
    <t>Net increase/(decrease) in cash and cash equivalents</t>
  </si>
  <si>
    <t xml:space="preserve"> '18</t>
  </si>
  <si>
    <t>(Profit)/Loss on investing activities, incl.:</t>
  </si>
  <si>
    <t>rights received free of charge</t>
  </si>
  <si>
    <t>Net cash from/(used in) operating activities</t>
  </si>
  <si>
    <t>Settlement of derivatives not designated as hedge accounting</t>
  </si>
  <si>
    <t>Redemption of non-controlling shares Unipetrol a.s.</t>
  </si>
  <si>
    <t>to equity owners of the parent</t>
  </si>
  <si>
    <t>to non-controlling interest</t>
  </si>
  <si>
    <r>
      <t xml:space="preserve">  Corporate functions</t>
    </r>
    <r>
      <rPr>
        <vertAlign val="superscript"/>
        <sz val="12"/>
        <color theme="1"/>
        <rFont val="Calibri"/>
        <family val="2"/>
        <charset val="238"/>
        <scheme val="minor"/>
      </rPr>
      <t xml:space="preserve"> 1)</t>
    </r>
  </si>
  <si>
    <r>
      <t>Zwrot z zaangażowanego kapitału (ROACE) [%]</t>
    </r>
    <r>
      <rPr>
        <vertAlign val="superscript"/>
        <sz val="12"/>
        <color theme="1"/>
        <rFont val="Calibri"/>
        <family val="2"/>
        <charset val="238"/>
        <scheme val="minor"/>
      </rPr>
      <t xml:space="preserve"> 2)</t>
    </r>
  </si>
  <si>
    <r>
      <t>Return on capital employed (ROACE) [%]</t>
    </r>
    <r>
      <rPr>
        <vertAlign val="superscript"/>
        <sz val="12"/>
        <color theme="1"/>
        <rFont val="Calibri"/>
        <family val="2"/>
        <charset val="238"/>
        <scheme val="minor"/>
      </rPr>
      <t xml:space="preserve"> 2)</t>
    </r>
  </si>
  <si>
    <r>
      <t xml:space="preserve">Zwrot z zaangażowanego kapitału wg LIFO (ROACE LIFO) [%] </t>
    </r>
    <r>
      <rPr>
        <vertAlign val="superscript"/>
        <sz val="12"/>
        <color theme="1"/>
        <rFont val="Calibri"/>
        <family val="2"/>
        <charset val="238"/>
        <scheme val="minor"/>
      </rPr>
      <t>3)</t>
    </r>
  </si>
  <si>
    <r>
      <t xml:space="preserve">Return on capital employed under LIFO (ROACE LIFO) [%] </t>
    </r>
    <r>
      <rPr>
        <vertAlign val="superscript"/>
        <sz val="12"/>
        <color theme="1"/>
        <rFont val="Calibri"/>
        <family val="2"/>
        <charset val="238"/>
        <scheme val="minor"/>
      </rPr>
      <t>3)</t>
    </r>
  </si>
  <si>
    <r>
      <t xml:space="preserve">Dźwignia finansowa netto [%] </t>
    </r>
    <r>
      <rPr>
        <vertAlign val="superscript"/>
        <sz val="12"/>
        <color theme="1"/>
        <rFont val="Calibri"/>
        <family val="2"/>
        <charset val="238"/>
        <scheme val="minor"/>
      </rPr>
      <t>4)</t>
    </r>
  </si>
  <si>
    <r>
      <t xml:space="preserve">Net financial leverage [%] </t>
    </r>
    <r>
      <rPr>
        <vertAlign val="superscript"/>
        <sz val="12"/>
        <color theme="1"/>
        <rFont val="Calibri"/>
        <family val="2"/>
        <charset val="238"/>
        <scheme val="minor"/>
      </rPr>
      <t>4)</t>
    </r>
  </si>
  <si>
    <t xml:space="preserve"> '19</t>
  </si>
  <si>
    <t>recognition/(reversal) of impairment allowances of property, 
plant and equipment and intangible assets</t>
  </si>
  <si>
    <t>settlement and valuation of derivative financial instruments</t>
  </si>
  <si>
    <t>change in settlements of settled derivatives not designated for hedge accounting purposes</t>
  </si>
  <si>
    <t>Acquisition of property, plant and equipment, 
intangible assets and rights of use assets</t>
  </si>
  <si>
    <t>Disposal of property, plant and equipment, 
intangible assets and rights of use assets</t>
  </si>
  <si>
    <t>Change in cash related to purchase of non-controlling interest of UNIPETROL, a.s</t>
  </si>
  <si>
    <t>Proceeds from loans received</t>
  </si>
  <si>
    <t>Repayment of loans</t>
  </si>
  <si>
    <t>Interest paid from loans and bonds</t>
  </si>
  <si>
    <t>short-term and low-value lease payments</t>
  </si>
  <si>
    <t xml:space="preserve"> '20</t>
  </si>
  <si>
    <t>recognition/(reversal) of impairment allowances of property, plant and equipment, intangible assets  and other non-current assets</t>
  </si>
  <si>
    <t>(gain) on bargain purchase of the ENERGA Group</t>
  </si>
  <si>
    <t>inventories, incl.:</t>
  </si>
  <si>
    <t>impairment allowances of inventories to net realizable value</t>
  </si>
  <si>
    <t>Acquisition of shares lowered by cash, incl.:</t>
  </si>
  <si>
    <t>of the ENERGA Group</t>
  </si>
  <si>
    <t>Short term deposits</t>
  </si>
  <si>
    <t>Net cash flows from loans</t>
  </si>
  <si>
    <t>Gaz ziemny (PLN/MWh)  6)</t>
  </si>
  <si>
    <t>Energia elektryczna (PLN/MWh)  6)</t>
  </si>
  <si>
    <t>Electricity (PLN/MWh)  6)</t>
  </si>
  <si>
    <t>Natural gas (PLN/MWh)  6)</t>
  </si>
  <si>
    <t>Modelowa marża olefinowa (EUR/t) 5)</t>
  </si>
  <si>
    <t>Modelowa marża downstream (USD/bbl) 2)</t>
  </si>
  <si>
    <t>Modelowa marża rafineryjna (USD/bbl) 3)</t>
  </si>
  <si>
    <t>Modelowa marża petrochemiczna (EUR/t) 4)</t>
  </si>
  <si>
    <t>Model downstream margin (USD/bbl) 2)</t>
  </si>
  <si>
    <t>Model refining margin (USD/bbl) 3)</t>
  </si>
  <si>
    <t>Model petrochemical margin (EUR/t) 4)</t>
  </si>
  <si>
    <t>Model olefin margin (EUR/t) 5)</t>
  </si>
  <si>
    <t>Dyferencjał 1)</t>
  </si>
  <si>
    <t>Brent / URAL differential (USD/bbl)  1)</t>
  </si>
  <si>
    <t xml:space="preserve"> '21</t>
  </si>
  <si>
    <t>Disposal of property, plant and equipment, intangible assets and rights of use assets</t>
  </si>
  <si>
    <t>Change in the ownership structure in Baltic Power</t>
  </si>
  <si>
    <t xml:space="preserve"> '22</t>
  </si>
  <si>
    <t>Proceeds from the sale of shares in connection with the implementation of REMEDIES and sale of 30% of shares in Rafineria Gdańska</t>
  </si>
  <si>
    <t>Acquisition of financial assets in ORLEN VC</t>
  </si>
  <si>
    <t>Proceeds/(Outflows) net cash from loans</t>
  </si>
  <si>
    <t>Cash in the acquired LOTOS Group companies as at the merger date</t>
  </si>
  <si>
    <t>Cash in the acquired PGNiG Group companies as at the merger date</t>
  </si>
  <si>
    <t xml:space="preserve"> '23</t>
  </si>
  <si>
    <t>Short-term deposits</t>
  </si>
  <si>
    <t>(Purchase)/Disposal of bonds</t>
  </si>
  <si>
    <t>Acquisition of petrochemical assets less cash</t>
  </si>
  <si>
    <t xml:space="preserve">Monomery
[etylen, propylen] </t>
  </si>
  <si>
    <t>Tworzywa sztuczne
[PCW, przetwórstwo PCW]</t>
  </si>
  <si>
    <t xml:space="preserve"> '13 - '19</t>
  </si>
  <si>
    <t>Downstream
Segment</t>
  </si>
  <si>
    <t>Light distillates
[gasoline, LPG]</t>
  </si>
  <si>
    <t>Medium distillates
[diesel oil, light heating oil, jet fuel]</t>
  </si>
  <si>
    <t>Heavy fractions
[heavy heating oil, asphalt, oils]</t>
  </si>
  <si>
    <t>Monomers
[ethylene, propylene]</t>
  </si>
  <si>
    <t>Polymers
[polyethylene, polypropylene]</t>
  </si>
  <si>
    <t>Aromas
[benzene, toluene, paraxylene, ortoxylene]</t>
  </si>
  <si>
    <t>Fertilizers
[CANWIL, ammonium nitrate, ammonium sulphate, other]</t>
  </si>
  <si>
    <t>Plastics
[PVC, PVC granulate]</t>
  </si>
  <si>
    <t>12 months 2014</t>
  </si>
  <si>
    <t>12 months 2016</t>
  </si>
  <si>
    <t>12 months 2017</t>
  </si>
  <si>
    <t>12 months 2018</t>
  </si>
  <si>
    <t>12 months 2019</t>
  </si>
  <si>
    <t>12 months 2015</t>
  </si>
  <si>
    <t>12 months 2013 *</t>
  </si>
  <si>
    <t>Plastics
[PVC, PVC processing]</t>
  </si>
  <si>
    <t>Medium distillates
[diesel oil, light heating oil]</t>
  </si>
  <si>
    <t xml:space="preserve"> '19 - '22</t>
  </si>
  <si>
    <t>Energy distribution - volume of provided energy (TWh)</t>
  </si>
  <si>
    <t>Energy sales on retail market (TWh)</t>
  </si>
  <si>
    <t>Energy sales on wholesale market (TWh)</t>
  </si>
  <si>
    <t>Energy sales (TWh)</t>
  </si>
  <si>
    <t>Net energy production (TWh), including from:</t>
  </si>
  <si>
    <t>RES</t>
  </si>
  <si>
    <t>Heating oil</t>
  </si>
  <si>
    <t>Coal</t>
  </si>
  <si>
    <t>Installed capacity (GWe), including from:</t>
  </si>
  <si>
    <t>Fuel oil</t>
  </si>
  <si>
    <t>Number of days (in period)</t>
  </si>
  <si>
    <t>Total production (crude oil + natural gas + NGL) ( boe/d)</t>
  </si>
  <si>
    <t>Total sales (crude oil + natural gas + NGL) ( boe/d)</t>
  </si>
  <si>
    <t>Crude oil sales (bbl/d)</t>
  </si>
  <si>
    <t>Natural gas sales (boe/d)</t>
  </si>
  <si>
    <t>NGL sales (Natural Gas Liquids) (boe/d)</t>
  </si>
  <si>
    <t>Q3
2022*</t>
  </si>
  <si>
    <t>Selected operating data of the companies of the former PGNiG Group</t>
  </si>
  <si>
    <t>Production, including:</t>
  </si>
  <si>
    <t xml:space="preserve"> - Poland</t>
  </si>
  <si>
    <t xml:space="preserve"> - Pakistan</t>
  </si>
  <si>
    <t>Imports of Poland,  including:</t>
  </si>
  <si>
    <t xml:space="preserve">   - from east, including:</t>
  </si>
  <si>
    <t xml:space="preserve"> - from Lithuania</t>
  </si>
  <si>
    <t>Volumes sales to non-PGNiG Group, including:</t>
  </si>
  <si>
    <t xml:space="preserve"> on the Polish Power Exchange</t>
  </si>
  <si>
    <t xml:space="preserve"> sales in Ukraine</t>
  </si>
  <si>
    <t>DISTRIBUTION</t>
  </si>
  <si>
    <t>Volume of distributed gas by Polska Spółka Gazownictwa</t>
  </si>
  <si>
    <t>CRUDE OIL*</t>
  </si>
  <si>
    <t>Production volume, including:</t>
  </si>
  <si>
    <t>Sales volumes, including:</t>
  </si>
  <si>
    <t>HEAT AND ELECTRICITY**</t>
  </si>
  <si>
    <t>Total heat sales volumes</t>
  </si>
  <si>
    <t>Total electricity sales volumes from own generation sources</t>
  </si>
  <si>
    <t>* including crude oil, condensate and NGL.</t>
  </si>
  <si>
    <t>** data for PGNiG Termika S.A. and PGNiG Termika Energetyka Przemysłowa S.A.</t>
  </si>
  <si>
    <t>UoM</t>
  </si>
  <si>
    <t>‘000 tonnes</t>
  </si>
  <si>
    <t>nazwy arkuszy</t>
  </si>
  <si>
    <t>ENG.</t>
  </si>
  <si>
    <t>Refining products (USD/t)  7)</t>
  </si>
  <si>
    <t>Produkty rafineryjne (USD/t)  7)</t>
  </si>
  <si>
    <t>Produkty petrochemiczne (EUR/t)  7)</t>
  </si>
  <si>
    <t>Petrochemical products (EUR/t)  7)</t>
  </si>
  <si>
    <t>Pozostałe przychody operacyjne**</t>
  </si>
  <si>
    <t>IV kw.
2018 ***</t>
  </si>
  <si>
    <t>12 m-cy
2018 ***</t>
  </si>
  <si>
    <t>12 months
2018 ***</t>
  </si>
  <si>
    <t>I kw.
2014
przed odpisem 1)</t>
  </si>
  <si>
    <t>Q1
2014
before impairment allowances 1)</t>
  </si>
  <si>
    <t>II kw.
2014
przed odpisem 1)</t>
  </si>
  <si>
    <t>Q2
2014
before impairment allowances 1)</t>
  </si>
  <si>
    <t>III kw.
2014
przed odpisem 1)</t>
  </si>
  <si>
    <t>Q3
2014
before impairment allowances 1)</t>
  </si>
  <si>
    <t>IV kw.
2014
przed odpisem 1)</t>
  </si>
  <si>
    <t>Q4
2014
before impairment allowances 1)</t>
  </si>
  <si>
    <t>12 months
2014
before impairment allowances 1)</t>
  </si>
  <si>
    <t>12 m-cy
2014
przed odpisem 1)</t>
  </si>
  <si>
    <t>I kw.
2015
przed odpisem 1)</t>
  </si>
  <si>
    <t>Q1
2015
before impairment allowances 1)</t>
  </si>
  <si>
    <t>II kw.
2015
przed odpisem 1)</t>
  </si>
  <si>
    <t>Q2
2015
before impairment allowances 1)</t>
  </si>
  <si>
    <t>III kw.
2015
przed odpisem 1)</t>
  </si>
  <si>
    <t>Q3
2015
before impairment allowances 1)</t>
  </si>
  <si>
    <t>Q4
2015
before impairment allowances 1)</t>
  </si>
  <si>
    <t>IV kw.
2015
przed odpisem 1)</t>
  </si>
  <si>
    <t>12 m-cy 2015
przed odpisem 1)</t>
  </si>
  <si>
    <t>I kw.
2016
przed odpisem 1)</t>
  </si>
  <si>
    <t>12 months
2015
before impairment allowances 1)</t>
  </si>
  <si>
    <t>Q1
2016
before impairment allowances 1)</t>
  </si>
  <si>
    <t>II kw.
2016
przed odpisem 1)</t>
  </si>
  <si>
    <t>Q2
2016
before impairment allowances 1)</t>
  </si>
  <si>
    <t>III kw.
2016
przed odpisem 1)</t>
  </si>
  <si>
    <t>Q3
2016
before impairment allowances 1)</t>
  </si>
  <si>
    <t>IV kw.
2016
przed odpisem 1)</t>
  </si>
  <si>
    <t>Q4
2016
before impairment allowances 1)</t>
  </si>
  <si>
    <t>12 months
2016
before impairment allowances 1)</t>
  </si>
  <si>
    <t>12 m-cy
2016
przed odpisem 1)</t>
  </si>
  <si>
    <t>I kw.
2017
przed odpisem 1)</t>
  </si>
  <si>
    <t>II kw.
2017
przed odpisem 1)</t>
  </si>
  <si>
    <t>III kw.
2017
przed odpisem 1)</t>
  </si>
  <si>
    <t>Q1
2017
before impairment allowances 1)</t>
  </si>
  <si>
    <t>Q2
2017
before impairment allowances 1)</t>
  </si>
  <si>
    <t>Q3
2017
before impairment allowances 1)</t>
  </si>
  <si>
    <t>IV kw.
2017
przed odpisem 1)</t>
  </si>
  <si>
    <t>12 m-cy
2017
przed odpisem 1)</t>
  </si>
  <si>
    <t>I kw.
2018
przed odpisem 1)</t>
  </si>
  <si>
    <t>II kw.
2018
przed odpisem 1)</t>
  </si>
  <si>
    <t>III kw.
2018
przed odpisem 1)</t>
  </si>
  <si>
    <t>I kw.
2020
przed odpisem 1)</t>
  </si>
  <si>
    <t>Q1
2020
before impairment allowances 1)</t>
  </si>
  <si>
    <t>Q4
2017
before impairment allowances 1)</t>
  </si>
  <si>
    <t>12 months
2017
before impairment allowances 1)</t>
  </si>
  <si>
    <t>Q1
2018
before impairment allowances 1)</t>
  </si>
  <si>
    <t>Q2
2018
before impairment allowances 1)</t>
  </si>
  <si>
    <t>Q3
2018
before impairment allowances 1)</t>
  </si>
  <si>
    <t>I kw.
2019
przed odpisem 1)</t>
  </si>
  <si>
    <t>II kw.
2019
przed odpisem 1)</t>
  </si>
  <si>
    <t>III kw.
2019
przed odpisem 1)</t>
  </si>
  <si>
    <t>Q1
2019
before impairment allowances 1)</t>
  </si>
  <si>
    <t>Q2
2019
before impairment allowances 1)</t>
  </si>
  <si>
    <t>Q3
2019
before impairment allowances 1)</t>
  </si>
  <si>
    <t>12 months
2018 *</t>
  </si>
  <si>
    <t>ok</t>
  </si>
  <si>
    <t>Q3
2021*</t>
  </si>
  <si>
    <t>podstawowy</t>
  </si>
  <si>
    <t>rozwodniony</t>
  </si>
  <si>
    <t>basic</t>
  </si>
  <si>
    <t>diluted</t>
  </si>
  <si>
    <t>Zapasy obowiązkowe</t>
  </si>
  <si>
    <t>Obligatory inventories</t>
  </si>
  <si>
    <t>zapasy obowiązkowe</t>
  </si>
  <si>
    <t>obligatory inventories</t>
  </si>
  <si>
    <t>Wpływy z tytułu spłaty udzielonych pożyczek</t>
  </si>
  <si>
    <t>(Wydatki) z tytułu udzielonych pożyczek</t>
  </si>
  <si>
    <t>**) Odpisy aktualizujące wartość aktywów trwałych ujęte w:
- III kwartale 2019 roku w wysokości (0,1) mld PLN dotyczące głównie działalności poszukiwawczej Grupy ORLEN Upstream w Polsce.
- IV kwartale 2019 roku w wysokości (0,1) mld PLN dotyczące głównie działalności poszukiwawczej Grupy ORLEN Upstream w Polsce.
- I kwartale 2020 roku w wysokości (0,5) mld PLN dotyczące głównie aktywów Grupy ORLEN Upstream.
- II kwartale 2020 roku w wysokości (0,2) mld PLN dotyczące głównie aktywów Grupy ORLEN Upstream.
- IV kwartale 2020 roku w wysokości (0,9) mld PLN dotyczące głównie aktywów Grupy ORLEN Upstream.
- IV kwartale 2021 roku w wysokości 0,9 mld PLN dotyczące głównie aktywów Grupy ORLEN Upstream.
- II kwartale 2022 roku w wysokości (2,9) mld PLN dotyczące głównie aktywów ORLEN S.A. oraz Grupy ORLEN Lietuva.
- IV kwartale 2022 roku w wysokości (3,1) mld PLN dotyczące głównie aktywów ORLEN S.A. oraz spółek dawnej Grupy LOTOS.
- I kwartale 2023 roku w wysokości (2,2) mld PLN dotyczące głównie aktywów wydobywczych ORLEN S.A. w Polsce i Pakistanie.
- III kwartale 2023 roku w wysokości (1,1) mld PLN dotyczące głównie odpisu aktualizującego wartość inwestycji w EuRoPol Gaz.
- IV kwartale 2023 roku w wysokości (13,9) mld PLN dotyczące głównie aktywów petrochemicznych ORLEN S.A.
- I kwartale 2024 roku w wysokości (0,7) mld PLN dotyczące głównie aktywów petrochemicznych ORLEN S.A.
- II kwartale 2024 roku w wysokości (0,5) mld PLN dotyczące głównie aktywów petrochemicznych ORLEN S.A.
- III kwartale 2024 roku w wysokości (3,5) mld PLN dotyczące głównie aktywów ORLEN S.A. oraz Grupy ORLEN Lietuva.
- IV kwartale 2024 roku w wysokości (1,1) mld PLN dotyczące głównie aktywów wydobywczych Grupy ORLEN Upstream oraz ORLEN S.A.</t>
  </si>
  <si>
    <t>**) Impairment allowances of non-current assets included in: 
- III quarter of 2019 of PLN in the amount of PLN (0.1) billion regarding ORLEN Upstream Group activities in Poland.
- IV quarter of 2019 of PLN in the amount of PLN (0.1) billion regarding ORLEN Upstream Group activities in Poland.
- I quarter of 2020 in the amount of PLN (0.5) billion mainly regarding assets of ORLEN Upstream Group.
- II quarter of 2020 in the amount of PLN (0,2) billion mainly regarding assets of ORLEN Upstream Group.
- IV quarter of 2020 in the amount of PLN (0,9) billion mainly regarding assets of ORLEN Upstream Group.
- IV quarter of 2021 in the amount of PLN 0,9 billion mainly regarding assets of ORLEN Upstream Group.
- II quarter of 2022 in the amount of PLN (2,9) billion mainly regarding assets of ORLEN and ORLEN Lietuva Group.
- IV quarter of 2022 in the amount of PLN (3,1) billion mainly regarding assets of ORLEN and companies of the former LOTOS Group.
- I quarter of 2023 in the amount of PLN (2,2) billion mainly regarding assets of ORLEN in Poland and Pakistan.
- III quarter of 2023 in the amount of PLN (1,0) billion mainly regarding the Group made an impairment loss on the investment in EuRoPol Gaz.
- IV quarter of 2023 in the amount of PLN (13,9) billion mainly regarding assets of ORLEN.
- I quarter of 2024 in the amount of PLN (0,7) billion mainly regarding assets of ORLEN.
- II quarter of 2024 in the amount of PLN (0,5) billion mainly regarding assets of ORLEN.
- III quarter of 2024 in the amount of PLN (3,5) billion mainly regarding assets of ORLEN and ORLEN Lietuva Group.
- IV quarter of 2024 in the amount of PLN (1,1) billion mainly regarding assets of ORLEN Upstream Group and ORLEN.</t>
  </si>
  <si>
    <t>Odsetki netto i dywidendy</t>
  </si>
  <si>
    <t>Net interest and Dividends</t>
  </si>
  <si>
    <t>Wpływy netto  związane z realizacją Środków Zaradczych</t>
  </si>
  <si>
    <t>(Nabycie)/Zbycie akcji i udziałów pomniejszone o środki pieniężne</t>
  </si>
  <si>
    <t>I kw. 
2025</t>
  </si>
  <si>
    <t>Q1
2025</t>
  </si>
  <si>
    <t>II kw. 
2025</t>
  </si>
  <si>
    <t>Q2
2025</t>
  </si>
  <si>
    <t>III kw. 
2025</t>
  </si>
  <si>
    <t>Q3
2025</t>
  </si>
  <si>
    <t>IV kw. 
2025</t>
  </si>
  <si>
    <t>Q4
2025</t>
  </si>
  <si>
    <t>12 m-cy 2025</t>
  </si>
  <si>
    <t>12 months
2025</t>
  </si>
  <si>
    <t>31.03.2025</t>
  </si>
  <si>
    <t>30.06.2025</t>
  </si>
  <si>
    <t>30.09.2025</t>
  </si>
  <si>
    <t>31.12.2025</t>
  </si>
  <si>
    <t>Rok 2025</t>
  </si>
  <si>
    <t>12 months 2025</t>
  </si>
  <si>
    <t>I kw. 
2024*</t>
  </si>
  <si>
    <t>II kw. 
2024*</t>
  </si>
  <si>
    <t>III kw. 
2024*</t>
  </si>
  <si>
    <t>IV kw. 
2024*</t>
  </si>
  <si>
    <t>12 m-cy 2024*</t>
  </si>
  <si>
    <t>Q1
2024*</t>
  </si>
  <si>
    <t>Q2
2024*</t>
  </si>
  <si>
    <t>Q3
2024*</t>
  </si>
  <si>
    <t>Q4
2024*</t>
  </si>
  <si>
    <t>12 months
2024*</t>
  </si>
  <si>
    <t>*) Segment rafineria, petrochemia, energetyka, detal, wydobycie, gaz: dane przekształcone.</t>
  </si>
  <si>
    <t>*) Refining, Petrochemical, Energy, Retail, Upstream and Gas: restated data.</t>
  </si>
  <si>
    <t>Upstream&amp;Supply</t>
  </si>
  <si>
    <t>Downstream</t>
  </si>
  <si>
    <t>Consumers&amp;Products</t>
  </si>
  <si>
    <t>Dług netto/Wynik z działalności operacyjnej wg LIFO powiększony o amortyzację z ostatnich czterech kwartałów  (EBITDA LIFO) 5)</t>
  </si>
  <si>
    <t>Dług netto/Wynik z działalności operacyjnej powiększony o amortyzację z ostatnich czterech kwartałów  (EBITDA) 6)</t>
  </si>
  <si>
    <t>Net debt/Profit from operations under LIFO plus depreciation and amortisation for the last four quarters (EBITDA LIFO) 5)</t>
  </si>
  <si>
    <t>Net debt/Profit from operations plus depreciation and amortisation for the last four quarters (EBITDA) 6)</t>
  </si>
  <si>
    <t>efekt LIFO (Upstream&amp;Supply)</t>
  </si>
  <si>
    <t>efekt LIFO (Downstream)</t>
  </si>
  <si>
    <t>LIFO effect (Upstream&amp;Supply)</t>
  </si>
  <si>
    <t>LIFO effect (Downstream)</t>
  </si>
  <si>
    <t>I kw.
2025
przed odpisem**</t>
  </si>
  <si>
    <t>II kw.
2025
przed odpisem**</t>
  </si>
  <si>
    <t>III kw.
2025
przed odpisem**</t>
  </si>
  <si>
    <t>IV kw.
2025
przed odpisem**</t>
  </si>
  <si>
    <t>Q4
2025
before impairment allowances**</t>
  </si>
  <si>
    <t>12 months
2025
before impairment allowances**</t>
  </si>
  <si>
    <t>Q1
2025
before impairment allowances**</t>
  </si>
  <si>
    <t>Q2
2025
before impairment allowances**</t>
  </si>
  <si>
    <t>Q3
2025
before impairment allowances**</t>
  </si>
  <si>
    <t>12 m-cy
2025
przed odpisem**</t>
  </si>
  <si>
    <t>EBITDA, EBIT, Amort. '19-'24</t>
  </si>
  <si>
    <t>EBITDA, EBIT, Depreciat. '19-'24</t>
  </si>
  <si>
    <t>Kluczowe dane finansowe '19-'24</t>
  </si>
  <si>
    <t>Key financial data '19-'24</t>
  </si>
  <si>
    <t>Rafineria '19-'24</t>
  </si>
  <si>
    <t>Petrochemia '19-'24</t>
  </si>
  <si>
    <t>Energetyka '19-'24</t>
  </si>
  <si>
    <t>Refining '19-'24</t>
  </si>
  <si>
    <t>Petrochemical '19-'24</t>
  </si>
  <si>
    <t>Energy '19-'24</t>
  </si>
  <si>
    <t>Detal '13-'24</t>
  </si>
  <si>
    <t>Wydobycie '13-'24</t>
  </si>
  <si>
    <t>Retail '13-'24</t>
  </si>
  <si>
    <t>Upstream '13-'24</t>
  </si>
  <si>
    <t>Gaz '22-'24</t>
  </si>
  <si>
    <t>Gas '22-'24</t>
  </si>
  <si>
    <t>Sprzedaż '19-'24</t>
  </si>
  <si>
    <t>Sales '19-'24</t>
  </si>
  <si>
    <t>N/D5</t>
  </si>
  <si>
    <t>Wydobycie (Polska)</t>
  </si>
  <si>
    <t>Wydobycie (Zagranica)</t>
  </si>
  <si>
    <t>Obrót Hurtowy Ropą i Gazem</t>
  </si>
  <si>
    <t>Mining (Poland)</t>
  </si>
  <si>
    <t>Mining (Abroad)</t>
  </si>
  <si>
    <t>Rafineria (Produkcja i Obrót)</t>
  </si>
  <si>
    <t>Petrochemia (Produkcja i Obrót)</t>
  </si>
  <si>
    <t>Sieci Dystrybucyjne (Energia i Gaz)</t>
  </si>
  <si>
    <t>Ciepłownictwo</t>
  </si>
  <si>
    <t>OZE</t>
  </si>
  <si>
    <t>Handel Energią Elektryczną</t>
  </si>
  <si>
    <t>Detal (Energia i Gaz)</t>
  </si>
  <si>
    <t>Detal (Paliwo i Sklep)</t>
  </si>
  <si>
    <t>Distribution Networks (Energy and Gas)</t>
  </si>
  <si>
    <t xml:space="preserve">Trading of electricity </t>
  </si>
  <si>
    <t>Retail (Fuel and Shop)</t>
  </si>
  <si>
    <t>Retail (Energy and Gas)</t>
  </si>
  <si>
    <t>Downstream, w tym:</t>
  </si>
  <si>
    <t>Downstream, including:</t>
  </si>
  <si>
    <t>Others</t>
  </si>
  <si>
    <t>ORLEN 
S.A.</t>
  </si>
  <si>
    <t>ANWIL</t>
  </si>
  <si>
    <t>Grupa ENERGA</t>
  </si>
  <si>
    <t>ENERGA Group</t>
  </si>
  <si>
    <t>NOK/PLN</t>
  </si>
  <si>
    <t>Marże '13-'24</t>
  </si>
  <si>
    <t>Kursy  '13-'24</t>
  </si>
  <si>
    <t>Exchange rates  '13-'24</t>
  </si>
  <si>
    <t>Margins  '13-'24</t>
  </si>
  <si>
    <t>Wpływ wyceny zapasów wg LIFO na poziom EBITDA</t>
  </si>
  <si>
    <t>Effect of inventory valuation under LIFO on EBITDA</t>
  </si>
  <si>
    <t>Dług netto/Wynik z działalności operacyjnej powiększony o amortyzację z ostatnich czterech kwartałów  (EBITDA) 5)</t>
  </si>
  <si>
    <t>Net debt/Profit from operations plus depreciation and amortisation for the last four quarters (EBITDA) 5)</t>
  </si>
  <si>
    <t>5) Dług (odsetkowy) pomniejszony o środki pieniężne i ich ekwiwalenty na koniec okresu / EBITDA z ostatnich czterech kwartałów.</t>
  </si>
  <si>
    <t>5) Interest bearing debt net of cash and cash equivalents at the end of the period / EBITDA for the last four quarters.</t>
  </si>
  <si>
    <t>Cena gazu ziemnego TGEgasDA (PLN/MWh)</t>
  </si>
  <si>
    <t>Cena gazu ziemnego TTF month-ahead (PLN/MWh)</t>
  </si>
  <si>
    <t>Cena gazu ziemnego Henry Hub (PLN/MWh)</t>
  </si>
  <si>
    <t>Cena energii elektrycznej TGeBase (PLN/MWh)</t>
  </si>
  <si>
    <t>Prawa do emisji CO2 (EUR/t)</t>
  </si>
  <si>
    <t>Modelowa marża rafineryjna (USD/bbl) 1)</t>
  </si>
  <si>
    <t>Dyferencjał 2)</t>
  </si>
  <si>
    <t>Brent / URAL differential (USD/bbl)  2)</t>
  </si>
  <si>
    <t>Modelowa marża petrochemiczna (EUR/t) 3)</t>
  </si>
  <si>
    <t>Model petrochemical margin (EUR/t) 3)</t>
  </si>
  <si>
    <t>1) Modelowa marża rafineryjna = przychody (33% Benzyna + 48% Olej Napędowy + 13% COO) – koszty (98% Ropa Brent + 2% Gaz ziemny). Notowania spot.</t>
  </si>
  <si>
    <t>2) Dyferencjał liczony na bazie rzeczywistego udziału przerobionych rop. Notowania spot.</t>
  </si>
  <si>
    <t>4) Marże (crack) dla produktów rafineryjnych i petrochemicznych (z wyjątkiem polimerów) wyliczone jako różnica pomiędzy notowaniem danego produktu a notowaniem ropy Brent DTD.</t>
  </si>
  <si>
    <t>5) Marża (crack) dla polimerów wyliczona jako różnica pomiędzy notowaniami polimerów a notowaniami monomerów.</t>
  </si>
  <si>
    <t>Model refining margin (USD/bbl) 1)</t>
  </si>
  <si>
    <t>2) Differential calculated on the real share of processed crude oils. Spot quotations.</t>
  </si>
  <si>
    <t>1) Model refining margin = revenues (33% Gasoline + 48% Diesel + 13% HHO) - costs (98% Brent crude oil + 2% Natural gas). Spot quotations.</t>
  </si>
  <si>
    <t>Natural gas price TTF month-ahead PLN/MWh</t>
  </si>
  <si>
    <t>Natural gas price TGEgasDA PLN/MWh</t>
  </si>
  <si>
    <t>Electricity price TGeBase PLN/MWh</t>
  </si>
  <si>
    <t>Natural gas price Henry Hub PLN/MWh</t>
  </si>
  <si>
    <t>Polipropylen 5)</t>
  </si>
  <si>
    <t>Polietylen 5)</t>
  </si>
  <si>
    <t>Polyethylene  5)</t>
  </si>
  <si>
    <t>Polypropylene  5)</t>
  </si>
  <si>
    <t>Średnie kursy walut  6)</t>
  </si>
  <si>
    <t>Average exchange rates   6)</t>
  </si>
  <si>
    <t>CO2 emission rights (EUR/t)</t>
  </si>
  <si>
    <t>Refining products (USD/t) - quotation of margins (crack margins)   4)</t>
  </si>
  <si>
    <t>Petrochemical products (EUR/t) - quotation of margins (crack margins) 4)</t>
  </si>
  <si>
    <t>4) Margins (crack) for refining and petrochemical products (excluding polymers) calculated as difference between a quotation of given product and a quotation of Brent DTD crude oil.</t>
  </si>
  <si>
    <t>5) Margin (crack) for polymers calculated as difference between quotations of polymers and monomers.</t>
  </si>
  <si>
    <t>3) Modelowa Marża Petrochemiczna = przychody (25% HDPE [Spot] + 16% PP Homo [Spot] + 9% Etylen [kontrakt] + 7% Toluen [kontrakt] + 14% Benzen [kontrakt]) – koszty (75% Nafta + 13% COO + 13% LPG [Spot]) - 6% koszty CO2 [EUA].</t>
  </si>
  <si>
    <t>6) Kursy średnie wg danych Narodowego Banku Polskiego i Europejskiego Banku Centralnego.</t>
  </si>
  <si>
    <t>6) Average foreign exchange rates according to the National Bank of Poland and European Central Bank.</t>
  </si>
  <si>
    <t>Produkcja energii ogółem (GWh)</t>
  </si>
  <si>
    <t>Benzyny (tys. ton)</t>
  </si>
  <si>
    <t>ON (tys. ton)</t>
  </si>
  <si>
    <t>Krajowe zużycie energii elektrycznej (GWh)</t>
  </si>
  <si>
    <t>Gasoline ('000 tonnes)</t>
  </si>
  <si>
    <t>Diesel oil ('000 tonnes)</t>
  </si>
  <si>
    <t>Total energy production (GWh)</t>
  </si>
  <si>
    <t>National electricity consumption (GWh)</t>
  </si>
  <si>
    <t>Fuel consumption '13-'24</t>
  </si>
  <si>
    <t>Konsumpcja '13-'24</t>
  </si>
  <si>
    <t>w tym: Produkcja Rafineryjna</t>
  </si>
  <si>
    <t>w tym: Produkcja Petrochemiczna</t>
  </si>
  <si>
    <t>w tym: Obrót hurtowy produktami rafineryjnymi</t>
  </si>
  <si>
    <t>including: Petrochemical production</t>
  </si>
  <si>
    <t>including: Refining production</t>
  </si>
  <si>
    <t>Wholesale Trade in Oil and Gas</t>
  </si>
  <si>
    <t>Sprzedaż rafineryjna</t>
  </si>
  <si>
    <t>Sprzedaż petrochemiczna</t>
  </si>
  <si>
    <t>Refinery sales</t>
  </si>
  <si>
    <t>Petrochemical sales</t>
  </si>
  <si>
    <t>Dane operacyjne Upstream&amp;Supply i Energy</t>
  </si>
  <si>
    <t>Selected operating data for Upstream&amp;Supply and Energy</t>
  </si>
  <si>
    <t>Dane operacyjne Upstream&amp;Supply</t>
  </si>
  <si>
    <t>Dane operacyjne Energy</t>
  </si>
  <si>
    <t>do segmentu Upstream &amp; Supply</t>
  </si>
  <si>
    <t>do segmentu Downstream</t>
  </si>
  <si>
    <t>do segmentu Energy</t>
  </si>
  <si>
    <t>do segmentu Consumer &amp; Products</t>
  </si>
  <si>
    <t>Upstream &amp; Supply</t>
  </si>
  <si>
    <t>Consumer &amp; Products</t>
  </si>
  <si>
    <t>Poland ('000 tonnes)</t>
  </si>
  <si>
    <t>Other countries of ORLEN Group ('000 tonnes)</t>
  </si>
  <si>
    <t>Konsumpcja *</t>
  </si>
  <si>
    <t>(Strata)/odwrócenie straty z tytułu utraty wartości należności handlowych (w tym odsetek od należności handlowych)</t>
  </si>
  <si>
    <t>(Loss)/reversal of loss due to impairment of trade receivables (incl. interests from receivables)</t>
  </si>
  <si>
    <t>Środki pieniężne</t>
  </si>
  <si>
    <t>Aktywa przeznaczone do sprzedaży</t>
  </si>
  <si>
    <t>Inne składniki kapitału własnego</t>
  </si>
  <si>
    <t>Other components of equity</t>
  </si>
  <si>
    <t>Wydatki z tytułu objęcia kontroli nad jednostkami zależnymi i przedsięwzięciami pomniejszone o środki pieniężne w nabytych jednostkach zależnych i przedsięwzięciach</t>
  </si>
  <si>
    <t>Cash outflows from obtaining control of subsidiaries and businesses, net of cash acquired in subsidiaries and businesses</t>
  </si>
  <si>
    <t>Proceeds from issuance of bonds</t>
  </si>
  <si>
    <t>**) Odpisy aktualizujące wartość aktywów trwałych ujęte w:
- I kwartale 2024 roku w wysokości (0,7) mld PLN dotyczące głównie aktywów Downstream ORLEN S.A.
- I kwartale 2025 roku w wysokości (1,4) mld PLN dotyczące głównie aktywów Downstream ORLEN S.A. oraz Grupy ORLEN Lietuva.</t>
  </si>
  <si>
    <t>**) Impairment allowances of non-current assets included in: 
- I quarter of 2024 in the amount of PLN (0,7) billion mainly regarding assets of Downstream ORLEN S.A.
- I quarter of 2025 in the amount of PLN (1,4) billion mainly regarding assets of Downstream ORLEN S.A. and ORLEN Lietuva Group.</t>
  </si>
  <si>
    <t>Produkty petrochemiczne (EUR/t) – marża (crack) z notowań 4)</t>
  </si>
  <si>
    <t>Produkty rafineryjne (USD/t) – marża (crack) z notowań 4)</t>
  </si>
  <si>
    <t>Consumption</t>
  </si>
  <si>
    <t>Upstream&amp;Supply_Energy</t>
  </si>
  <si>
    <t>Consumption '13-'24</t>
  </si>
  <si>
    <t>Funkcje Korporacyjne '13-'24</t>
  </si>
  <si>
    <t>Corporate functions '13-'24</t>
  </si>
  <si>
    <t>Bilans '19-'24</t>
  </si>
  <si>
    <t>Balance sheet '19-'24</t>
  </si>
  <si>
    <t>CashFlow '24</t>
  </si>
  <si>
    <t>Energ_Wydoby_Gaz_'23-'24</t>
  </si>
  <si>
    <t>Energy_Upstream_Gas_'19-'22</t>
  </si>
  <si>
    <t>Energy_Upstream_Gas_'23-'24</t>
  </si>
  <si>
    <t>RZiS '19-'24</t>
  </si>
  <si>
    <t>P&amp;L '19-'24</t>
  </si>
  <si>
    <t>3) Model petrochemical margin = revenues (25% HDPE [Spot] + 16% PP Homo [Spot] + 9% Ethylene [contract] + 7% Toluene [contract] +14% Benzene [contract]) – costs (75% Naphtha + 13% HHO + 13% LPG [Spot]) - 6% CO2 costs [EUA].</t>
  </si>
  <si>
    <t>**) Impairment allowances of assets according to IAS 36.</t>
  </si>
  <si>
    <t>including: Wholesale trade in petrochemical products</t>
  </si>
  <si>
    <t>Energetyka konwencjonalna</t>
  </si>
  <si>
    <t>Energy Conventional</t>
  </si>
  <si>
    <t>Pozostałe kraje Grupy ORLEN</t>
  </si>
  <si>
    <t>*) Estimates prepared based on data of Agencja Rynku Energii S.A., Lithuanian Statistical Office, Czech Statistical Office, Association of the German Petroleum Industry, Polskie Sieci Elektroenergetyczne and Eurostat, Data of transmission system operators.</t>
  </si>
  <si>
    <t>*) Szacunki własne opracowane na bazie dostępnych danych Agencji Rynku Energii S.A., Litewskiego Urzędu Statystycznego, Czeskiego Urzędu Statystycznego, Niemieckiego Stowarzyszenia Przemysłu Naftowego, Polskich Sieci Elektroenergetycznych oraz danych Eurostat, Dane operatorów systemów przesyłowych.</t>
  </si>
  <si>
    <t>Q4
2018 *</t>
  </si>
  <si>
    <t>*) From May 2020, it includes the ENERGA Group. From August 2022, it includes the exLOTOS Group.</t>
  </si>
  <si>
    <t>Polietylen 8)</t>
  </si>
  <si>
    <t>Polipropylen 8)</t>
  </si>
  <si>
    <t>Polyethylene 8)</t>
  </si>
  <si>
    <t>Polypropylene 8)</t>
  </si>
  <si>
    <t>Zwrot z zaangażowanego kapitału (ROACE) [%] 2)</t>
  </si>
  <si>
    <t>Return on capital employed (ROACE) [%] 2)</t>
  </si>
  <si>
    <t>Zwrot z zaangażowanego kapitału wg LIFO (ROACE LIFO) [%] 3)</t>
  </si>
  <si>
    <t>Return on capital employed under LIFO (ROACE LIFO) [%] 3)</t>
  </si>
  <si>
    <t>Dźwignia finansowa netto [%] 4)</t>
  </si>
  <si>
    <t>Net financial leverage [%] 4)</t>
  </si>
  <si>
    <t>Wybrane dane operacyjne segmentu Upstream&amp;Supply i Energy</t>
  </si>
  <si>
    <t>Odpisy aktualizujące wartość aktywów trwałych</t>
  </si>
  <si>
    <t>Consumers &amp; Products</t>
  </si>
  <si>
    <t>EBITDA</t>
  </si>
  <si>
    <t>Efekt LIFO</t>
  </si>
  <si>
    <t>EBIT</t>
  </si>
  <si>
    <t>Wynik netto</t>
  </si>
  <si>
    <t>Nakłady inwestycyjne</t>
  </si>
  <si>
    <t>Kluczowe dane finansowe
(mln PLN)</t>
  </si>
  <si>
    <t>Upstream &amp; Supply
(mln PLN)</t>
  </si>
  <si>
    <t>*) Dane przekształcone</t>
  </si>
  <si>
    <t>Downstream
(mln PLN)</t>
  </si>
  <si>
    <t>Energy
(mln PLN)</t>
  </si>
  <si>
    <t>EBITDA LIFO przed odpisami, w tym:</t>
  </si>
  <si>
    <t>Consumers &amp; Products
(mln PLN)</t>
  </si>
  <si>
    <t>Corporate functions
(mln PLN)</t>
  </si>
  <si>
    <t xml:space="preserve">EBITDA przed odpisami </t>
  </si>
  <si>
    <t>Skonsolidowane sprawozdanie z zysków lub strat i innych całkowitych dochodów
(mln PLN)</t>
  </si>
  <si>
    <t>Skonsolidowane sprawozdanie z przepływów pieniężnych
(mln PLN)</t>
  </si>
  <si>
    <t>Olefiny (Płock)</t>
  </si>
  <si>
    <t>BOP (Płock)</t>
  </si>
  <si>
    <t>Nawozy</t>
  </si>
  <si>
    <t>PCW (Włocławek)</t>
  </si>
  <si>
    <t>PTA (Włocławek)</t>
  </si>
  <si>
    <t>Olefiny (Unipetrol)</t>
  </si>
  <si>
    <t>PPF Splitter (ORLEN Lietuva)</t>
  </si>
  <si>
    <t>Przerób ropy w Grupie ORLEN (tys.t)</t>
  </si>
  <si>
    <t>Przerób ropy w ORLEN S.A. (tys.t)</t>
  </si>
  <si>
    <t>Przerób ropy w Unipetrolu (tys.t)</t>
  </si>
  <si>
    <t>Przerób ropy w ORLEN Lietuva (tys.t)</t>
  </si>
  <si>
    <t>Uzysk lekkich destylatów (%)</t>
  </si>
  <si>
    <t>Uzysk średnich destylatów (%)</t>
  </si>
  <si>
    <t>Uzysk paliw (%), w tym:</t>
  </si>
  <si>
    <t>Nawozy (Włocławek)</t>
  </si>
  <si>
    <t>Paliwo JET</t>
  </si>
  <si>
    <t>COO</t>
  </si>
  <si>
    <t>Olefiny</t>
  </si>
  <si>
    <t>Poliolefiny</t>
  </si>
  <si>
    <t>PCW</t>
  </si>
  <si>
    <t>Consumers &amp; Products, w tym:</t>
  </si>
  <si>
    <t>Sprzedaż
(tys. ton)</t>
  </si>
  <si>
    <t>Produkcja Downstream</t>
  </si>
  <si>
    <t>Instalacje petrochemiczne
(wykorzystanie mocy)</t>
  </si>
  <si>
    <t xml:space="preserve">EBITDA </t>
  </si>
  <si>
    <t>Odpisy aktualizujące</t>
  </si>
  <si>
    <t>1) uwzględnia Wyłączenia</t>
  </si>
  <si>
    <t>3) Dług netto/EBITDA z ostatnich czterech kwartałów</t>
  </si>
  <si>
    <t>Skonsolidowane sprawozdanie z sytuacji finansowej
(mln PLN)</t>
  </si>
  <si>
    <t>Konsumpcja (gaz wysokometanowy) (GWh)</t>
  </si>
  <si>
    <t>Consumption (high methane gas) (GWh)</t>
  </si>
  <si>
    <t xml:space="preserve">(Strata)/odwrócenie straty z tytułu utraty wartości pozostałych aktywów finansowych </t>
  </si>
  <si>
    <t>(Loss)/reversal of loss due to impairment of other financial assets</t>
  </si>
  <si>
    <t>Sales volumes
(‘000 tonnes)</t>
  </si>
  <si>
    <t>Downstream, of which:</t>
  </si>
  <si>
    <t>Consumers &amp; Products, of which:</t>
  </si>
  <si>
    <t>Diesel</t>
  </si>
  <si>
    <t>JET fuel</t>
  </si>
  <si>
    <t>Olefins</t>
  </si>
  <si>
    <t>Polyolefins</t>
  </si>
  <si>
    <t>Fertilisers</t>
  </si>
  <si>
    <t>PVC</t>
  </si>
  <si>
    <t>Downstream production</t>
  </si>
  <si>
    <t>Crude oil throughput in ORLEN Group (kt)</t>
  </si>
  <si>
    <t>Crude oil throughput in ORLEN S.A. (kt)</t>
  </si>
  <si>
    <t>Fuel yield (%), of which:</t>
  </si>
  <si>
    <t>Light distillates yield (%)</t>
  </si>
  <si>
    <t>Middle distillates yield (%)</t>
  </si>
  <si>
    <t>Crude oil throughput in Unipetrol (kt)</t>
  </si>
  <si>
    <t>Crude oil throughput in ORLEN Lietuva (kt)</t>
  </si>
  <si>
    <t>Petrochemical installations
(utilisation)</t>
  </si>
  <si>
    <t>Olefins (Płock)</t>
  </si>
  <si>
    <t>Fertilisers (Włocławek)</t>
  </si>
  <si>
    <t>PVC (Włocławek)</t>
  </si>
  <si>
    <t>Olefins (Unipetrol)</t>
  </si>
  <si>
    <t>Consolidated statement of cash flows
(PLN million)</t>
  </si>
  <si>
    <t>Consolidated statement of financial position
(PLN million)</t>
  </si>
  <si>
    <t>Consolidated statement of profit or loss and other comprehensive income
(PLN million)</t>
  </si>
  <si>
    <t>Corporate functions1</t>
  </si>
  <si>
    <t>Dług netto2</t>
  </si>
  <si>
    <t>Dług netto/EBITDA3</t>
  </si>
  <si>
    <t>Key financial data
(PLN million)</t>
  </si>
  <si>
    <t>EBITDA LIFO before impairments, of which:</t>
  </si>
  <si>
    <r>
      <t>Corporate functions</t>
    </r>
    <r>
      <rPr>
        <vertAlign val="superscript"/>
        <sz val="12"/>
        <color theme="1"/>
        <rFont val="Calibri"/>
        <family val="2"/>
        <charset val="238"/>
        <scheme val="minor"/>
      </rPr>
      <t>1</t>
    </r>
  </si>
  <si>
    <t>Impairment of assets</t>
  </si>
  <si>
    <t>LIFO effect</t>
  </si>
  <si>
    <t>Amortisation</t>
  </si>
  <si>
    <t>Net result</t>
  </si>
  <si>
    <t>Cash flow from operating activities</t>
  </si>
  <si>
    <t>Cash flow from investing activities</t>
  </si>
  <si>
    <t>Capital expenditures</t>
  </si>
  <si>
    <t>Net debt2</t>
  </si>
  <si>
    <t>Net debt/EBITDA3</t>
  </si>
  <si>
    <t>2) Dług netto = (krótkoterminowe + długoterminowe zobowiązania z tytułu kredytów, pożyczek dłużne pap. wart.) – środki pieniężne</t>
  </si>
  <si>
    <t>1) includes Adjustments</t>
  </si>
  <si>
    <t>2) Net debt = (short-term + long-term liabilities from credits, loans debt securities) – cash</t>
  </si>
  <si>
    <t>3) Net debt/EBITDA for the last four quarters</t>
  </si>
  <si>
    <t>*) Restated data</t>
  </si>
  <si>
    <t>Upstream (Poland)</t>
  </si>
  <si>
    <t>Upstream (Abroad)</t>
  </si>
  <si>
    <t>Heating</t>
  </si>
  <si>
    <t>Conventional energy</t>
  </si>
  <si>
    <t>Electricity trading</t>
  </si>
  <si>
    <t>Upstream &amp; Supply
(PLN million)</t>
  </si>
  <si>
    <t>EBITDA LIFO przed odpisami</t>
  </si>
  <si>
    <t>EBITDA LIFO before impairments</t>
  </si>
  <si>
    <t>Downstream
(PLN million)</t>
  </si>
  <si>
    <t>Energy
(PLN million)</t>
  </si>
  <si>
    <t>EBITDA before impairments</t>
  </si>
  <si>
    <t>Consumers &amp; Products
(PLN million)</t>
  </si>
  <si>
    <t>Corporate functions
(PLN million)</t>
  </si>
  <si>
    <t>Net interest and dividends</t>
  </si>
  <si>
    <t>Differential 2)</t>
  </si>
  <si>
    <t>Refining (Production and Products wholesale trading)</t>
  </si>
  <si>
    <t>Petchem (Production and Products wholesale trading)</t>
  </si>
  <si>
    <t>Produkcja '19-'24</t>
  </si>
  <si>
    <t>Production '19-'24</t>
  </si>
  <si>
    <t>Sprzedaż Downstream i C&amp;P</t>
  </si>
  <si>
    <t>Production Downstream</t>
  </si>
  <si>
    <t>Sales downstream and C&amp;P</t>
  </si>
  <si>
    <t>Selected operational and financial data by business segment</t>
  </si>
  <si>
    <t>Consumption *</t>
  </si>
  <si>
    <t>Uzysk produktów białych</t>
  </si>
  <si>
    <t>Wykorzystanie mocy przerobowych</t>
  </si>
  <si>
    <t>Utilisation</t>
  </si>
  <si>
    <t>White products yield</t>
  </si>
  <si>
    <t>podatek dochodowy</t>
  </si>
  <si>
    <t>income tax</t>
  </si>
  <si>
    <t>zmiana stanu zobowiązań z tytułu umów z klientami</t>
  </si>
  <si>
    <t>change in liabilities under contracts with customers</t>
  </si>
  <si>
    <t>Supply</t>
  </si>
  <si>
    <t>Petrochemicals</t>
  </si>
  <si>
    <t>Wytwarzanie</t>
  </si>
  <si>
    <t>Sieci Dystrybucyjne</t>
  </si>
  <si>
    <t>Nowa Energetyka</t>
  </si>
  <si>
    <t>Distribution Networks</t>
  </si>
  <si>
    <t>New Energy</t>
  </si>
  <si>
    <t>Power Generation</t>
  </si>
  <si>
    <t>Detal paliwowy</t>
  </si>
  <si>
    <t xml:space="preserve">Fuel retail </t>
  </si>
  <si>
    <t>Detal niepaliwowy</t>
  </si>
  <si>
    <t>Non-fuel retail</t>
  </si>
  <si>
    <t>Corporate Functions1</t>
  </si>
  <si>
    <t>Upstream&amp;Supply operational data</t>
  </si>
  <si>
    <t>Energy operational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</si>
</sst>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0\ &quot;zł&quot;;[Red]\-#,##0\ &quot;zł&quot;"/>
    <numFmt numFmtId="44" formatCode="_-* #,##0.00\ &quot;zł&quot;_-;\-* #,##0.00\ &quot;zł&quot;_-;_-* &quot;-&quot;??\ &quot;zł&quot;_-;_-@_-"/>
    <numFmt numFmtId="164" formatCode="_-* #,##0.00\ _z_ł_-;\-* #,##0.00\ _z_ł_-;_-* &quot;-&quot;??\ _z_ł_-;_-@_-"/>
    <numFmt numFmtId="165" formatCode="_(* #,##0_);_(* \(#,##0\);_(* &quot;-&quot;_);_(@_)"/>
    <numFmt numFmtId="166" formatCode="#,##0&quot;zł&quot;;[Red]\-#,##0&quot;zł&quot;"/>
    <numFmt numFmtId="167" formatCode="#,##0.00&quot;zł&quot;;\-#,##0.00&quot;zł&quot;"/>
    <numFmt numFmtId="168" formatCode="\$#,##0\ ;\(\$#,##0\)"/>
    <numFmt numFmtId="169" formatCode="_-* #,##0.00\ [$€]_-;\-* #,##0.00\ [$€]_-;_-* &quot;-&quot;??\ [$€]_-;_-@_-"/>
    <numFmt numFmtId="170" formatCode="#,##0.0000_);[Red]\(#,##0.0000\)"/>
    <numFmt numFmtId="171" formatCode="#,##0_);\(#,##0\)"/>
    <numFmt numFmtId="172" formatCode="#,##0.0%_);\(#,##0.0%\)"/>
    <numFmt numFmtId="173" formatCode="#,##0.0_);\(#,##0.0\)"/>
    <numFmt numFmtId="174" formatCode="0.00%;\(0.00%\)"/>
    <numFmt numFmtId="175" formatCode="_-* #,##0_z_ł_-;\-* #,##0_z_ł_-;_-* &quot;-&quot;_z_ł_-;_-@_-"/>
    <numFmt numFmtId="176" formatCode="_-* #,##0.00\ &quot;Sk&quot;_-;\-* #,##0.00\ &quot;Sk&quot;_-;_-* &quot;-&quot;??\ &quot;Sk&quot;_-;_-@_-"/>
    <numFmt numFmtId="177" formatCode="#,##0.0_)\x;\(#,##0.0\)\x"/>
    <numFmt numFmtId="178" formatCode="_-* #,##0&quot;zł&quot;_-;\-* #,##0&quot;zł&quot;_-;_-* &quot;-&quot;&quot;zł&quot;_-;_-@_-"/>
    <numFmt numFmtId="179" formatCode="[Blue]0%_);[Red]\(0%\)"/>
    <numFmt numFmtId="180" formatCode="\$#,##0.00_);\$\(#,##0.00\)"/>
    <numFmt numFmtId="181" formatCode="yyyy"/>
    <numFmt numFmtId="182" formatCode="\P\L\N\ #,##0.00_);\P\L\N\ \(#,##0.00\)"/>
    <numFmt numFmtId="183" formatCode="#,##0.0"/>
    <numFmt numFmtId="184" formatCode="0.0"/>
    <numFmt numFmtId="185" formatCode="_-* #,##0\ _z_ł_-;\-* #,##0\ _z_ł_-;_-* &quot;-&quot;??\ _z_ł_-;_-@_-"/>
    <numFmt numFmtId="186" formatCode="_-* #,##0.0\ _z_ł_-;\-* #,##0.0\ _z_ł_-;_-* &quot;-&quot;??\ _z_ł_-;_-@_-"/>
    <numFmt numFmtId="187" formatCode="_-* #,##0.0\ _z_ł_-;\-* #,##0.0\ _z_ł_-;_-* &quot;-&quot;?\ _z_ł_-;_-@_-"/>
    <numFmt numFmtId="188" formatCode="_(#,##0_);_(\(#,##0\);_(&quot;0&quot;_);_(@_)"/>
    <numFmt numFmtId="189" formatCode="_(#,##0.00_);_(\(#,##0.00\);_(&quot;0&quot;_);_(@_)"/>
    <numFmt numFmtId="190" formatCode="_(#,##0_);_(\(#,##0\);_(&quot;-&quot;_);_(@_)"/>
    <numFmt numFmtId="191" formatCode="_(#,##0.0_);_(\(#,##0.0\);_(&quot;-&quot;_);_(@_)"/>
    <numFmt numFmtId="192" formatCode="_(#,##0.00_);_(\(#,##0.00\);_(&quot;-&quot;_);_(@_)"/>
    <numFmt numFmtId="193" formatCode="#,##0.00_);\(#,##0.00\)"/>
    <numFmt numFmtId="194" formatCode="_(#,##0.0_);_(\(#,##0.0\);_(&quot;0&quot;_);_(@_)"/>
    <numFmt numFmtId="195" formatCode="_(#,##0.000_);_(\(#,##0.000\);_(&quot;-&quot;_);_(@_)"/>
    <numFmt numFmtId="196" formatCode="0.0000"/>
  </numFmts>
  <fonts count="147">
    <font>
      <sz val="10"/>
      <name val="Arial"/>
      <charset val="238"/>
    </font>
    <font>
      <sz val="8"/>
      <name val="Arial"/>
      <family val="2"/>
      <charset val="238"/>
    </font>
    <font>
      <sz val="9"/>
      <name val="Arial"/>
      <family val="2"/>
      <charset val="238"/>
    </font>
    <font>
      <b/>
      <sz val="8"/>
      <name val="Arial"/>
      <family val="2"/>
    </font>
    <font>
      <b/>
      <sz val="10"/>
      <name val="Arial"/>
      <family val="2"/>
      <charset val="238"/>
    </font>
    <font>
      <i/>
      <sz val="8"/>
      <name val="Arial"/>
      <family val="2"/>
      <charset val="238"/>
    </font>
    <font>
      <b/>
      <sz val="9"/>
      <name val="Arial"/>
      <family val="2"/>
      <charset val="238"/>
    </font>
    <font>
      <sz val="10"/>
      <name val="Times New Roman"/>
      <family val="1"/>
    </font>
    <font>
      <b/>
      <i/>
      <sz val="8"/>
      <name val="Arial"/>
      <family val="2"/>
      <charset val="238"/>
    </font>
    <font>
      <b/>
      <sz val="8"/>
      <color indexed="9"/>
      <name val="Arial"/>
      <family val="2"/>
      <charset val="238"/>
    </font>
    <font>
      <sz val="10"/>
      <color indexed="8"/>
      <name val="Arial"/>
      <family val="2"/>
    </font>
    <font>
      <b/>
      <sz val="6"/>
      <name val="Arial"/>
      <family val="2"/>
      <charset val="238"/>
    </font>
    <font>
      <sz val="6"/>
      <name val="Arial"/>
      <family val="2"/>
      <charset val="238"/>
    </font>
    <font>
      <b/>
      <sz val="10"/>
      <name val="Times New Roman"/>
      <family val="1"/>
    </font>
    <font>
      <sz val="11"/>
      <color indexed="8"/>
      <name val="Czcionka tekstu podstawowego"/>
      <family val="2"/>
      <charset val="238"/>
    </font>
    <font>
      <sz val="8"/>
      <color indexed="62"/>
      <name val="Arial"/>
      <family val="2"/>
      <charset val="238"/>
    </font>
    <font>
      <sz val="10"/>
      <name val="Arial CE"/>
    </font>
    <font>
      <sz val="11"/>
      <color indexed="8"/>
      <name val="Calibri"/>
      <family val="2"/>
      <charset val="238"/>
    </font>
    <font>
      <sz val="11"/>
      <color indexed="9"/>
      <name val="Czcionka tekstu podstawowego"/>
      <family val="2"/>
      <charset val="238"/>
    </font>
    <font>
      <sz val="11"/>
      <color indexed="26"/>
      <name val="Calibri"/>
      <family val="2"/>
      <charset val="238"/>
    </font>
    <font>
      <sz val="10"/>
      <color indexed="10"/>
      <name val="Arial"/>
      <family val="2"/>
    </font>
    <font>
      <b/>
      <sz val="10"/>
      <color indexed="8"/>
      <name val="Arial"/>
      <family val="2"/>
    </font>
    <font>
      <sz val="12"/>
      <name val="Times New Roman CE"/>
    </font>
    <font>
      <sz val="10"/>
      <color indexed="22"/>
      <name val="Arial"/>
      <family val="2"/>
      <charset val="238"/>
    </font>
    <font>
      <sz val="10"/>
      <color indexed="12"/>
      <name val="Arial"/>
      <family val="2"/>
    </font>
    <font>
      <sz val="10"/>
      <name val="MS Sans Serif"/>
      <family val="2"/>
      <charset val="238"/>
    </font>
    <font>
      <b/>
      <sz val="11"/>
      <color indexed="62"/>
      <name val="Calibri"/>
      <family val="2"/>
      <charset val="238"/>
    </font>
    <font>
      <sz val="10"/>
      <color indexed="39"/>
      <name val="Arial"/>
      <family val="2"/>
    </font>
    <font>
      <b/>
      <sz val="11"/>
      <color indexed="56"/>
      <name val="Czcionka tekstu podstawowego"/>
      <family val="2"/>
      <charset val="238"/>
    </font>
    <font>
      <u/>
      <sz val="10"/>
      <color indexed="12"/>
      <name val="Times New Roman"/>
      <family val="1"/>
      <charset val="238"/>
    </font>
    <font>
      <b/>
      <sz val="11"/>
      <color indexed="52"/>
      <name val="Czcionka tekstu podstawowego"/>
      <family val="2"/>
      <charset val="238"/>
    </font>
    <font>
      <b/>
      <sz val="10"/>
      <name val="Tms Rmn PL"/>
      <family val="1"/>
    </font>
    <font>
      <b/>
      <sz val="11"/>
      <color indexed="52"/>
      <name val="Calibri"/>
      <family val="2"/>
      <charset val="238"/>
    </font>
    <font>
      <sz val="11"/>
      <color indexed="52"/>
      <name val="Calibri"/>
      <family val="2"/>
      <charset val="238"/>
    </font>
    <font>
      <sz val="11"/>
      <color indexed="10"/>
      <name val="Czcionka tekstu podstawowego"/>
      <family val="2"/>
      <charset val="238"/>
    </font>
    <font>
      <sz val="11"/>
      <color indexed="52"/>
      <name val="Czcionka tekstu podstawowego"/>
      <family val="2"/>
      <charset val="238"/>
    </font>
    <font>
      <b/>
      <sz val="11"/>
      <color indexed="26"/>
      <name val="Calibri"/>
      <family val="2"/>
      <charset val="238"/>
    </font>
    <font>
      <b/>
      <sz val="11"/>
      <color indexed="9"/>
      <name val="Czcionka tekstu podstawowego"/>
      <family val="2"/>
      <charset val="238"/>
    </font>
    <font>
      <sz val="11"/>
      <color indexed="60"/>
      <name val="Calibri"/>
      <family val="2"/>
      <charset val="238"/>
    </font>
    <font>
      <sz val="11"/>
      <color indexed="20"/>
      <name val="Calibri"/>
      <family val="2"/>
      <charset val="238"/>
    </font>
    <font>
      <sz val="12"/>
      <name val="Times New Roman"/>
      <family val="1"/>
      <charset val="238"/>
    </font>
    <font>
      <b/>
      <sz val="11"/>
      <color indexed="63"/>
      <name val="Calibri"/>
      <family val="2"/>
      <charset val="238"/>
    </font>
    <font>
      <sz val="11"/>
      <color indexed="60"/>
      <name val="Czcionka tekstu podstawowego"/>
      <family val="2"/>
      <charset val="238"/>
    </font>
    <font>
      <b/>
      <sz val="13"/>
      <color indexed="56"/>
      <name val="Czcionka tekstu podstawowego"/>
      <family val="2"/>
      <charset val="238"/>
    </font>
    <font>
      <sz val="10"/>
      <color indexed="48"/>
      <name val="Arial"/>
      <family val="2"/>
    </font>
    <font>
      <sz val="11"/>
      <color indexed="20"/>
      <name val="Czcionka tekstu podstawowego"/>
      <family val="2"/>
      <charset val="238"/>
    </font>
    <font>
      <sz val="11"/>
      <color indexed="17"/>
      <name val="Calibri"/>
      <family val="2"/>
      <charset val="238"/>
    </font>
    <font>
      <b/>
      <sz val="11"/>
      <color indexed="63"/>
      <name val="Czcionka tekstu podstawowego"/>
      <family val="2"/>
      <charset val="238"/>
    </font>
    <font>
      <sz val="19"/>
      <color indexed="48"/>
      <name val="Arial"/>
      <family val="2"/>
      <charset val="238"/>
    </font>
    <font>
      <sz val="11"/>
      <color indexed="17"/>
      <name val="Czcionka tekstu podstawowego"/>
      <family val="2"/>
      <charset val="238"/>
    </font>
    <font>
      <i/>
      <sz val="11"/>
      <color indexed="23"/>
      <name val="Calibri"/>
      <family val="2"/>
      <charset val="238"/>
    </font>
    <font>
      <b/>
      <sz val="15"/>
      <color indexed="56"/>
      <name val="Czcionka tekstu podstawowego"/>
      <family val="2"/>
      <charset val="238"/>
    </font>
    <font>
      <sz val="11"/>
      <color indexed="10"/>
      <name val="Calibri"/>
      <family val="2"/>
      <charset val="238"/>
    </font>
    <font>
      <i/>
      <sz val="11"/>
      <color indexed="23"/>
      <name val="Czcionka tekstu podstawowego"/>
      <family val="2"/>
      <charset val="238"/>
    </font>
    <font>
      <b/>
      <sz val="18"/>
      <color indexed="62"/>
      <name val="Cambria"/>
      <family val="2"/>
      <charset val="238"/>
    </font>
    <font>
      <b/>
      <sz val="18"/>
      <color indexed="22"/>
      <name val="Arial"/>
      <family val="2"/>
      <charset val="238"/>
    </font>
    <font>
      <b/>
      <sz val="10"/>
      <color indexed="39"/>
      <name val="Arial"/>
      <family val="2"/>
    </font>
    <font>
      <sz val="11"/>
      <color indexed="62"/>
      <name val="Calibri"/>
      <family val="2"/>
      <charset val="238"/>
    </font>
    <font>
      <u/>
      <sz val="10"/>
      <color indexed="36"/>
      <name val="Times New Roman"/>
      <family val="1"/>
      <charset val="238"/>
    </font>
    <font>
      <b/>
      <sz val="18"/>
      <color indexed="56"/>
      <name val="Cambria"/>
      <family val="2"/>
      <charset val="238"/>
    </font>
    <font>
      <sz val="11"/>
      <color indexed="62"/>
      <name val="Czcionka tekstu podstawowego"/>
      <family val="2"/>
      <charset val="238"/>
    </font>
    <font>
      <b/>
      <sz val="11"/>
      <color indexed="8"/>
      <name val="Czcionka tekstu podstawowego"/>
      <family val="2"/>
      <charset val="238"/>
    </font>
    <font>
      <b/>
      <sz val="12"/>
      <color indexed="22"/>
      <name val="Arial"/>
      <family val="2"/>
      <charset val="238"/>
    </font>
    <font>
      <b/>
      <sz val="12"/>
      <color indexed="8"/>
      <name val="Arial"/>
      <family val="2"/>
      <charset val="238"/>
    </font>
    <font>
      <sz val="10"/>
      <name val="Arial"/>
      <family val="2"/>
      <charset val="238"/>
    </font>
    <font>
      <sz val="1"/>
      <name val="Arial"/>
      <family val="2"/>
      <charset val="238"/>
    </font>
    <font>
      <i/>
      <sz val="1"/>
      <name val="Arial"/>
      <family val="2"/>
      <charset val="238"/>
    </font>
    <font>
      <b/>
      <sz val="1"/>
      <name val="Arial"/>
      <family val="2"/>
      <charset val="238"/>
    </font>
    <font>
      <b/>
      <sz val="8"/>
      <name val="Arial"/>
      <family val="2"/>
      <charset val="238"/>
    </font>
    <font>
      <sz val="10"/>
      <name val="Arial CE"/>
      <charset val="238"/>
    </font>
    <font>
      <b/>
      <sz val="10"/>
      <color indexed="9"/>
      <name val="Arial"/>
      <family val="2"/>
      <charset val="238"/>
    </font>
    <font>
      <b/>
      <vertAlign val="superscript"/>
      <sz val="10"/>
      <name val="Arial"/>
      <family val="2"/>
      <charset val="238"/>
    </font>
    <font>
      <b/>
      <sz val="15"/>
      <color indexed="62"/>
      <name val="Calibri"/>
      <family val="2"/>
      <charset val="238"/>
    </font>
    <font>
      <b/>
      <sz val="13"/>
      <color indexed="62"/>
      <name val="Calibri"/>
      <family val="2"/>
      <charset val="238"/>
    </font>
    <font>
      <b/>
      <sz val="11"/>
      <color indexed="8"/>
      <name val="Calibri"/>
      <family val="2"/>
      <charset val="238"/>
    </font>
    <font>
      <sz val="7"/>
      <name val="Arial"/>
      <family val="2"/>
      <charset val="238"/>
    </font>
    <font>
      <sz val="8"/>
      <color indexed="8"/>
      <name val="Arial"/>
      <family val="2"/>
      <charset val="238"/>
    </font>
    <font>
      <i/>
      <sz val="8"/>
      <color indexed="8"/>
      <name val="Arial"/>
      <family val="2"/>
      <charset val="238"/>
    </font>
    <font>
      <b/>
      <sz val="8"/>
      <color indexed="8"/>
      <name val="Arial"/>
      <family val="2"/>
      <charset val="238"/>
    </font>
    <font>
      <b/>
      <sz val="12"/>
      <name val="Arial"/>
      <family val="2"/>
      <charset val="238"/>
    </font>
    <font>
      <sz val="8"/>
      <name val="Arial"/>
      <family val="2"/>
    </font>
    <font>
      <sz val="6"/>
      <name val="Arial CE"/>
      <charset val="238"/>
    </font>
    <font>
      <sz val="9"/>
      <name val="Arial CE"/>
      <charset val="238"/>
    </font>
    <font>
      <sz val="8"/>
      <name val="Arial CE"/>
      <charset val="238"/>
    </font>
    <font>
      <b/>
      <sz val="10"/>
      <name val="Arial CE"/>
      <charset val="238"/>
    </font>
    <font>
      <b/>
      <sz val="8"/>
      <name val="Arial CE"/>
      <charset val="238"/>
    </font>
    <font>
      <b/>
      <sz val="9"/>
      <name val="Arial CE"/>
      <charset val="238"/>
    </font>
    <font>
      <b/>
      <sz val="30"/>
      <name val="Arial"/>
      <family val="2"/>
      <charset val="238"/>
    </font>
    <font>
      <b/>
      <sz val="20"/>
      <name val="Arial"/>
      <family val="2"/>
      <charset val="238"/>
    </font>
    <font>
      <i/>
      <sz val="8"/>
      <name val="Arial"/>
      <family val="2"/>
    </font>
    <font>
      <b/>
      <sz val="1"/>
      <name val="Arial"/>
      <family val="2"/>
    </font>
    <font>
      <sz val="1"/>
      <name val="Arial"/>
      <family val="2"/>
    </font>
    <font>
      <u/>
      <sz val="10"/>
      <color theme="10"/>
      <name val="Arial"/>
      <family val="2"/>
      <charset val="238"/>
    </font>
    <font>
      <u/>
      <sz val="11"/>
      <color theme="10"/>
      <name val="Calibri"/>
      <family val="2"/>
      <charset val="238"/>
      <scheme val="minor"/>
    </font>
    <font>
      <sz val="11"/>
      <color theme="1"/>
      <name val="Calibri"/>
      <family val="2"/>
      <charset val="238"/>
      <scheme val="minor"/>
    </font>
    <font>
      <sz val="11"/>
      <color theme="1"/>
      <name val="Calibri"/>
      <family val="2"/>
      <scheme val="minor"/>
    </font>
    <font>
      <b/>
      <sz val="8"/>
      <color theme="0"/>
      <name val="Arial"/>
      <family val="2"/>
      <charset val="238"/>
    </font>
    <font>
      <sz val="8"/>
      <color rgb="FF000000"/>
      <name val="Arial"/>
      <family val="2"/>
      <charset val="238"/>
    </font>
    <font>
      <b/>
      <sz val="6"/>
      <color theme="0"/>
      <name val="Arial"/>
      <family val="2"/>
      <charset val="238"/>
    </font>
    <font>
      <sz val="8"/>
      <color theme="1"/>
      <name val="Arial"/>
      <family val="2"/>
      <charset val="238"/>
    </font>
    <font>
      <i/>
      <sz val="8"/>
      <color theme="1"/>
      <name val="Arial"/>
      <family val="2"/>
      <charset val="238"/>
    </font>
    <font>
      <b/>
      <sz val="12"/>
      <color theme="1"/>
      <name val="Arial"/>
      <family val="2"/>
      <charset val="238"/>
    </font>
    <font>
      <sz val="8"/>
      <color rgb="FFFF0000"/>
      <name val="Arial"/>
      <family val="2"/>
      <charset val="238"/>
    </font>
    <font>
      <b/>
      <sz val="8"/>
      <color theme="1"/>
      <name val="Arial"/>
      <family val="2"/>
      <charset val="238"/>
    </font>
    <font>
      <b/>
      <sz val="8"/>
      <color rgb="FFFF0000"/>
      <name val="Arial"/>
      <family val="2"/>
      <charset val="238"/>
    </font>
    <font>
      <b/>
      <sz val="10"/>
      <color rgb="FFFFFFFF"/>
      <name val="Arial"/>
      <family val="2"/>
      <charset val="238"/>
    </font>
    <font>
      <sz val="10"/>
      <color theme="1" tint="0.34998626667073579"/>
      <name val="Arial"/>
      <family val="2"/>
      <charset val="238"/>
    </font>
    <font>
      <u/>
      <sz val="10"/>
      <color theme="1" tint="0.34998626667073579"/>
      <name val="Arial"/>
      <family val="2"/>
      <charset val="238"/>
    </font>
    <font>
      <b/>
      <sz val="12"/>
      <color theme="1" tint="0.34998626667073579"/>
      <name val="Arial"/>
      <family val="2"/>
      <charset val="238"/>
    </font>
    <font>
      <i/>
      <sz val="10"/>
      <name val="Arial"/>
      <family val="2"/>
      <charset val="238"/>
    </font>
    <font>
      <i/>
      <sz val="8"/>
      <color rgb="FF000000"/>
      <name val="Arial"/>
      <family val="2"/>
      <charset val="238"/>
    </font>
    <font>
      <b/>
      <sz val="12"/>
      <color rgb="FFFF0000"/>
      <name val="Arial"/>
      <family val="2"/>
      <charset val="238"/>
    </font>
    <font>
      <b/>
      <sz val="16"/>
      <color theme="1" tint="0.34998626667073579"/>
      <name val="Arial"/>
      <family val="2"/>
      <charset val="238"/>
    </font>
    <font>
      <sz val="8"/>
      <color rgb="FFFF0000"/>
      <name val="Arial"/>
      <family val="2"/>
    </font>
    <font>
      <b/>
      <sz val="8"/>
      <color rgb="FF000000"/>
      <name val="Arial"/>
      <family val="2"/>
      <charset val="238"/>
    </font>
    <font>
      <i/>
      <sz val="8"/>
      <color rgb="FFFF0000"/>
      <name val="Arial"/>
      <family val="2"/>
      <charset val="238"/>
    </font>
    <font>
      <sz val="9"/>
      <color indexed="81"/>
      <name val="Tahoma"/>
      <family val="2"/>
      <charset val="238"/>
    </font>
    <font>
      <b/>
      <sz val="9"/>
      <color indexed="81"/>
      <name val="Tahoma"/>
      <family val="2"/>
      <charset val="238"/>
    </font>
    <font>
      <b/>
      <sz val="10"/>
      <color theme="1"/>
      <name val="Arial"/>
      <family val="2"/>
      <charset val="238"/>
    </font>
    <font>
      <sz val="11"/>
      <color indexed="8"/>
      <name val="Calibri"/>
      <family val="2"/>
    </font>
    <font>
      <sz val="11"/>
      <color theme="9"/>
      <name val="Calibri"/>
      <family val="2"/>
      <charset val="238"/>
    </font>
    <font>
      <sz val="7"/>
      <color rgb="FFFF0000"/>
      <name val="Arial"/>
      <family val="2"/>
      <charset val="238"/>
    </font>
    <font>
      <sz val="14"/>
      <color theme="1"/>
      <name val="Calibri"/>
      <family val="2"/>
      <scheme val="minor"/>
    </font>
    <font>
      <sz val="14"/>
      <color indexed="8"/>
      <name val="Arial"/>
      <family val="2"/>
      <charset val="238"/>
    </font>
    <font>
      <sz val="14"/>
      <color rgb="FF000000"/>
      <name val="Arial"/>
      <family val="2"/>
      <charset val="238"/>
    </font>
    <font>
      <sz val="12"/>
      <color theme="1"/>
      <name val="Calibri"/>
      <family val="2"/>
      <scheme val="minor"/>
    </font>
    <font>
      <sz val="12"/>
      <color indexed="8"/>
      <name val="Arial"/>
      <family val="2"/>
      <charset val="238"/>
    </font>
    <font>
      <vertAlign val="superscript"/>
      <sz val="12"/>
      <color theme="1"/>
      <name val="Calibri"/>
      <family val="2"/>
      <charset val="238"/>
      <scheme val="minor"/>
    </font>
    <font>
      <sz val="11"/>
      <color rgb="FFFF0000"/>
      <name val="Calibri"/>
      <family val="2"/>
      <scheme val="minor"/>
    </font>
    <font>
      <sz val="7"/>
      <name val="Arial CE"/>
      <charset val="238"/>
    </font>
    <font>
      <sz val="12"/>
      <color rgb="FF0000FF"/>
      <name val="Calibri"/>
      <family val="2"/>
      <scheme val="minor"/>
    </font>
    <font>
      <sz val="11"/>
      <color rgb="FF0000FF"/>
      <name val="Calibri"/>
      <family val="2"/>
      <scheme val="minor"/>
    </font>
    <font>
      <sz val="8"/>
      <color theme="0"/>
      <name val="Arial"/>
      <family val="2"/>
      <charset val="238"/>
    </font>
    <font>
      <sz val="11"/>
      <color rgb="FF000000"/>
      <name val="Arial"/>
      <family val="2"/>
      <charset val="238"/>
    </font>
    <font>
      <sz val="8"/>
      <color theme="0" tint="-0.34998626667073579"/>
      <name val="Arial"/>
      <family val="2"/>
      <charset val="238"/>
    </font>
    <font>
      <sz val="11"/>
      <name val="Aptos"/>
      <family val="2"/>
    </font>
    <font>
      <sz val="10"/>
      <color rgb="FF0000FF"/>
      <name val="Arial"/>
      <family val="2"/>
      <charset val="238"/>
    </font>
    <font>
      <b/>
      <sz val="12"/>
      <color indexed="9"/>
      <name val="Arial"/>
      <family val="2"/>
      <charset val="238"/>
    </font>
    <font>
      <b/>
      <sz val="10"/>
      <color theme="0"/>
      <name val="Arial"/>
      <family val="2"/>
      <charset val="238"/>
    </font>
    <font>
      <sz val="10"/>
      <name val="Arial"/>
      <family val="2"/>
      <charset val="238"/>
    </font>
    <font>
      <sz val="10"/>
      <color theme="1"/>
      <name val="Arial"/>
      <family val="2"/>
      <charset val="238"/>
    </font>
    <font>
      <b/>
      <sz val="10"/>
      <color rgb="FF263747"/>
      <name val="Arial"/>
      <family val="2"/>
      <charset val="238"/>
    </font>
    <font>
      <sz val="10"/>
      <color rgb="FF263747"/>
      <name val="Arial"/>
      <family val="2"/>
      <charset val="238"/>
    </font>
    <font>
      <b/>
      <sz val="10"/>
      <color indexed="8"/>
      <name val="Arial"/>
      <family val="2"/>
      <charset val="238"/>
    </font>
    <font>
      <b/>
      <sz val="10"/>
      <color rgb="FF000000"/>
      <name val="Arial"/>
      <family val="2"/>
      <charset val="238"/>
    </font>
    <font>
      <sz val="10"/>
      <color indexed="8"/>
      <name val="Arial"/>
      <family val="2"/>
      <charset val="238"/>
    </font>
    <font>
      <sz val="10"/>
      <color rgb="FF000000"/>
      <name val="Arial"/>
      <family val="2"/>
      <charset val="238"/>
    </font>
  </fonts>
  <fills count="4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62"/>
        <bgColor indexed="64"/>
      </patternFill>
    </fill>
    <fill>
      <patternFill patternType="solid">
        <fgColor indexed="55"/>
        <bgColor indexed="64"/>
      </patternFill>
    </fill>
    <fill>
      <patternFill patternType="solid">
        <fgColor indexed="13"/>
        <bgColor indexed="64"/>
      </patternFill>
    </fill>
    <fill>
      <patternFill patternType="solid">
        <fgColor indexed="40"/>
        <bgColor indexed="64"/>
      </patternFill>
    </fill>
    <fill>
      <patternFill patternType="solid">
        <fgColor indexed="50"/>
        <bgColor indexed="64"/>
      </patternFill>
    </fill>
    <fill>
      <patternFill patternType="lightUp">
        <fgColor indexed="48"/>
        <bgColor indexed="41"/>
      </patternFill>
    </fill>
    <fill>
      <patternFill patternType="solid">
        <fgColor indexed="41"/>
        <bgColor indexed="64"/>
      </patternFill>
    </fill>
    <fill>
      <patternFill patternType="solid">
        <fgColor indexed="15"/>
        <bgColor indexed="64"/>
      </patternFill>
    </fill>
    <fill>
      <patternFill patternType="solid">
        <fgColor indexed="23"/>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808080"/>
        <bgColor rgb="FF000000"/>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0000"/>
        <bgColor indexed="64"/>
      </patternFill>
    </fill>
    <fill>
      <patternFill patternType="solid">
        <fgColor indexed="9"/>
        <bgColor indexed="26"/>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double">
        <color indexed="64"/>
      </top>
      <bottom/>
      <diagonal/>
    </border>
    <border>
      <left/>
      <right/>
      <top style="thin">
        <color indexed="49"/>
      </top>
      <bottom style="double">
        <color indexed="49"/>
      </bottom>
      <diagonal/>
    </border>
    <border>
      <left/>
      <right/>
      <top/>
      <bottom style="medium">
        <color indexed="10"/>
      </bottom>
      <diagonal/>
    </border>
    <border>
      <left/>
      <right/>
      <top style="thin">
        <color indexed="10"/>
      </top>
      <bottom style="thin">
        <color indexed="10"/>
      </bottom>
      <diagonal/>
    </border>
    <border>
      <left/>
      <right/>
      <top/>
      <bottom style="medium">
        <color indexed="9"/>
      </bottom>
      <diagonal/>
    </border>
    <border>
      <left/>
      <right/>
      <top style="medium">
        <color indexed="10"/>
      </top>
      <bottom style="thin">
        <color indexed="23"/>
      </bottom>
      <diagonal/>
    </border>
    <border>
      <left/>
      <right/>
      <top/>
      <bottom style="thin">
        <color indexed="23"/>
      </bottom>
      <diagonal/>
    </border>
    <border>
      <left style="medium">
        <color indexed="9"/>
      </left>
      <right/>
      <top/>
      <bottom style="medium">
        <color indexed="9"/>
      </bottom>
      <diagonal/>
    </border>
    <border>
      <left style="thin">
        <color indexed="9"/>
      </left>
      <right/>
      <top/>
      <bottom/>
      <diagonal/>
    </border>
    <border>
      <left/>
      <right/>
      <top style="medium">
        <color indexed="10"/>
      </top>
      <bottom style="medium">
        <color indexed="10"/>
      </bottom>
      <diagonal/>
    </border>
    <border>
      <left/>
      <right/>
      <top style="medium">
        <color indexed="10"/>
      </top>
      <bottom/>
      <diagonal/>
    </border>
    <border>
      <left/>
      <right/>
      <top style="thin">
        <color indexed="23"/>
      </top>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style="thin">
        <color indexed="10"/>
      </top>
      <bottom style="thin">
        <color indexed="10"/>
      </bottom>
      <diagonal/>
    </border>
    <border>
      <left/>
      <right style="thin">
        <color indexed="9"/>
      </right>
      <top style="thin">
        <color indexed="10"/>
      </top>
      <bottom style="thin">
        <color indexed="10"/>
      </bottom>
      <diagonal/>
    </border>
    <border>
      <left/>
      <right/>
      <top style="thin">
        <color indexed="23"/>
      </top>
      <bottom style="medium">
        <color indexed="10"/>
      </bottom>
      <diagonal/>
    </border>
    <border>
      <left/>
      <right style="medium">
        <color indexed="9"/>
      </right>
      <top/>
      <bottom style="medium">
        <color indexed="9"/>
      </bottom>
      <diagonal/>
    </border>
    <border>
      <left/>
      <right style="medium">
        <color indexed="9"/>
      </right>
      <top style="medium">
        <color indexed="9"/>
      </top>
      <bottom style="thin">
        <color rgb="FFFF0000"/>
      </bottom>
      <diagonal/>
    </border>
    <border>
      <left/>
      <right/>
      <top/>
      <bottom style="medium">
        <color rgb="FFFF0000"/>
      </bottom>
      <diagonal/>
    </border>
    <border>
      <left style="medium">
        <color theme="0"/>
      </left>
      <right style="medium">
        <color theme="0"/>
      </right>
      <top style="thin">
        <color indexed="10"/>
      </top>
      <bottom style="thin">
        <color indexed="10"/>
      </bottom>
      <diagonal/>
    </border>
    <border>
      <left/>
      <right/>
      <top style="thin">
        <color rgb="FFFF0000"/>
      </top>
      <bottom style="thin">
        <color rgb="FFFF0000"/>
      </bottom>
      <diagonal/>
    </border>
    <border>
      <left/>
      <right/>
      <top/>
      <bottom style="medium">
        <color rgb="FFFFFFFF"/>
      </bottom>
      <diagonal/>
    </border>
    <border>
      <left style="thin">
        <color indexed="9"/>
      </left>
      <right/>
      <top/>
      <bottom style="medium">
        <color rgb="FFFF0000"/>
      </bottom>
      <diagonal/>
    </border>
    <border>
      <left style="medium">
        <color rgb="FFFFFFFF"/>
      </left>
      <right/>
      <top/>
      <bottom style="medium">
        <color rgb="FFFF0000"/>
      </bottom>
      <diagonal/>
    </border>
    <border>
      <left/>
      <right/>
      <top style="medium">
        <color rgb="FFFF0000"/>
      </top>
      <bottom style="thin">
        <color theme="0" tint="-0.499984740745262"/>
      </bottom>
      <diagonal/>
    </border>
    <border>
      <left/>
      <right/>
      <top/>
      <bottom style="thin">
        <color theme="0" tint="-0.499984740745262"/>
      </bottom>
      <diagonal/>
    </border>
    <border>
      <left style="medium">
        <color rgb="FFFFFFFF"/>
      </left>
      <right/>
      <top/>
      <bottom style="medium">
        <color rgb="FFFFFFFF"/>
      </bottom>
      <diagonal/>
    </border>
    <border>
      <left/>
      <right/>
      <top style="medium">
        <color rgb="FFFF0000"/>
      </top>
      <bottom style="medium">
        <color rgb="FFFF0000"/>
      </bottom>
      <diagonal/>
    </border>
    <border>
      <left/>
      <right/>
      <top style="thin">
        <color theme="0" tint="-0.24994659260841701"/>
      </top>
      <bottom style="thin">
        <color theme="0" tint="-0.24994659260841701"/>
      </bottom>
      <diagonal/>
    </border>
    <border>
      <left/>
      <right/>
      <top style="thin">
        <color theme="0" tint="-0.499984740745262"/>
      </top>
      <bottom style="thin">
        <color theme="0" tint="-0.499984740745262"/>
      </bottom>
      <diagonal/>
    </border>
    <border>
      <left/>
      <right/>
      <top style="medium">
        <color rgb="FFFF0000"/>
      </top>
      <bottom/>
      <diagonal/>
    </border>
    <border>
      <left/>
      <right/>
      <top style="thin">
        <color theme="0" tint="-0.499984740745262"/>
      </top>
      <bottom/>
      <diagonal/>
    </border>
    <border>
      <left style="thin">
        <color indexed="9"/>
      </left>
      <right/>
      <top style="thin">
        <color rgb="FFFF0000"/>
      </top>
      <bottom style="thin">
        <color rgb="FFFF0000"/>
      </bottom>
      <diagonal/>
    </border>
    <border>
      <left style="thin">
        <color indexed="9"/>
      </left>
      <right/>
      <top style="medium">
        <color rgb="FFFF0000"/>
      </top>
      <bottom style="thin">
        <color indexed="9"/>
      </bottom>
      <diagonal/>
    </border>
    <border>
      <left/>
      <right/>
      <top style="medium">
        <color rgb="FFFF0000"/>
      </top>
      <bottom style="thin">
        <color indexed="9"/>
      </bottom>
      <diagonal/>
    </border>
    <border>
      <left style="medium">
        <color rgb="FFFFFFFF"/>
      </left>
      <right/>
      <top/>
      <bottom/>
      <diagonal/>
    </border>
    <border>
      <left style="medium">
        <color rgb="FFFFFFFF"/>
      </left>
      <right/>
      <top style="thin">
        <color rgb="FFFF0000"/>
      </top>
      <bottom style="thin">
        <color rgb="FFFF0000"/>
      </bottom>
      <diagonal/>
    </border>
    <border>
      <left style="medium">
        <color rgb="FFFFFFFF"/>
      </left>
      <right/>
      <top/>
      <bottom style="thin">
        <color theme="0" tint="-0.499984740745262"/>
      </bottom>
      <diagonal/>
    </border>
    <border>
      <left style="medium">
        <color rgb="FFFFFFFF"/>
      </left>
      <right/>
      <top style="medium">
        <color rgb="FFFF0000"/>
      </top>
      <bottom style="medium">
        <color rgb="FFFF0000"/>
      </bottom>
      <diagonal/>
    </border>
    <border>
      <left style="medium">
        <color rgb="FFFFFFFF"/>
      </left>
      <right/>
      <top style="thin">
        <color rgb="FFFF0000"/>
      </top>
      <bottom/>
      <diagonal/>
    </border>
    <border>
      <left/>
      <right/>
      <top style="thin">
        <color rgb="FFFF0000"/>
      </top>
      <bottom/>
      <diagonal/>
    </border>
    <border>
      <left/>
      <right/>
      <top style="thin">
        <color indexed="10"/>
      </top>
      <bottom style="thin">
        <color theme="0" tint="-0.499984740745262"/>
      </bottom>
      <diagonal/>
    </border>
    <border>
      <left/>
      <right/>
      <top style="medium">
        <color rgb="FFFF0000"/>
      </top>
      <bottom style="thin">
        <color rgb="FF808080"/>
      </bottom>
      <diagonal/>
    </border>
    <border>
      <left/>
      <right/>
      <top style="thin">
        <color theme="0" tint="-0.49995422223578601"/>
      </top>
      <bottom/>
      <diagonal/>
    </border>
    <border>
      <left/>
      <right/>
      <top style="thin">
        <color rgb="FF808080"/>
      </top>
      <bottom/>
      <diagonal/>
    </border>
    <border>
      <left/>
      <right/>
      <top style="thin">
        <color theme="0" tint="-0.49995422223578601"/>
      </top>
      <bottom style="medium">
        <color indexed="10"/>
      </bottom>
      <diagonal/>
    </border>
    <border>
      <left/>
      <right/>
      <top style="thin">
        <color rgb="FF808080"/>
      </top>
      <bottom style="medium">
        <color rgb="FFFF0000"/>
      </bottom>
      <diagonal/>
    </border>
    <border>
      <left/>
      <right/>
      <top style="thin">
        <color theme="0" tint="-0.499984740745262"/>
      </top>
      <bottom style="medium">
        <color rgb="FFFF0000"/>
      </bottom>
      <diagonal/>
    </border>
    <border>
      <left/>
      <right/>
      <top/>
      <bottom style="thin">
        <color rgb="FF808080"/>
      </bottom>
      <diagonal/>
    </border>
    <border>
      <left style="thin">
        <color rgb="FFFFFFFF"/>
      </left>
      <right style="thin">
        <color rgb="FFFFFFFF"/>
      </right>
      <top style="thin">
        <color rgb="FFFF0000"/>
      </top>
      <bottom style="thin">
        <color rgb="FFFF0000"/>
      </bottom>
      <diagonal/>
    </border>
    <border>
      <left/>
      <right/>
      <top style="medium">
        <color indexed="10"/>
      </top>
      <bottom style="thin">
        <color theme="0" tint="-0.499984740745262"/>
      </bottom>
      <diagonal/>
    </border>
    <border>
      <left style="thin">
        <color indexed="9"/>
      </left>
      <right style="medium">
        <color indexed="9"/>
      </right>
      <top style="thin">
        <color rgb="FFFF0000"/>
      </top>
      <bottom/>
      <diagonal/>
    </border>
    <border>
      <left style="thin">
        <color indexed="9"/>
      </left>
      <right style="medium">
        <color indexed="9"/>
      </right>
      <top/>
      <bottom style="thin">
        <color rgb="FFFF0000"/>
      </bottom>
      <diagonal/>
    </border>
    <border>
      <left style="medium">
        <color theme="0"/>
      </left>
      <right/>
      <top style="thin">
        <color indexed="10"/>
      </top>
      <bottom style="thin">
        <color indexed="10"/>
      </bottom>
      <diagonal/>
    </border>
    <border>
      <left/>
      <right style="medium">
        <color theme="0"/>
      </right>
      <top style="thin">
        <color indexed="10"/>
      </top>
      <bottom style="thin">
        <color indexed="10"/>
      </bottom>
      <diagonal/>
    </border>
    <border>
      <left style="medium">
        <color rgb="FFFFFFFF"/>
      </left>
      <right/>
      <top/>
      <bottom style="thin">
        <color theme="0" tint="-0.34998626667073579"/>
      </bottom>
      <diagonal/>
    </border>
    <border>
      <left/>
      <right/>
      <top/>
      <bottom style="thin">
        <color theme="0" tint="-0.34998626667073579"/>
      </bottom>
      <diagonal/>
    </border>
    <border>
      <left style="medium">
        <color rgb="FFFFFFFF"/>
      </left>
      <right/>
      <top style="medium">
        <color rgb="FFFF0000"/>
      </top>
      <bottom/>
      <diagonal/>
    </border>
    <border>
      <left style="medium">
        <color rgb="FFFFFFFF"/>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indexed="64"/>
      </bottom>
      <diagonal/>
    </border>
    <border>
      <left/>
      <right style="medium">
        <color theme="0" tint="-0.499984740745262"/>
      </right>
      <top style="thin">
        <color indexed="10"/>
      </top>
      <bottom/>
      <diagonal/>
    </border>
    <border>
      <left/>
      <right style="medium">
        <color theme="0" tint="-0.499984740745262"/>
      </right>
      <top/>
      <bottom/>
      <diagonal/>
    </border>
    <border>
      <left/>
      <right style="medium">
        <color theme="0" tint="-0.499984740745262"/>
      </right>
      <top/>
      <bottom style="medium">
        <color indexed="10"/>
      </bottom>
      <diagonal/>
    </border>
    <border>
      <left/>
      <right style="medium">
        <color theme="0" tint="-0.499984740745262"/>
      </right>
      <top style="medium">
        <color indexed="10"/>
      </top>
      <bottom style="medium">
        <color indexed="10"/>
      </bottom>
      <diagonal/>
    </border>
    <border>
      <left/>
      <right style="medium">
        <color theme="0"/>
      </right>
      <top style="thin">
        <color rgb="FFFF0000"/>
      </top>
      <bottom/>
      <diagonal/>
    </border>
    <border>
      <left/>
      <right style="medium">
        <color theme="0"/>
      </right>
      <top/>
      <bottom/>
      <diagonal/>
    </border>
    <border>
      <left/>
      <right style="medium">
        <color theme="0"/>
      </right>
      <top/>
      <bottom style="medium">
        <color rgb="FFFF0000"/>
      </bottom>
      <diagonal/>
    </border>
    <border>
      <left/>
      <right style="medium">
        <color theme="0"/>
      </right>
      <top style="medium">
        <color rgb="FFFF0000"/>
      </top>
      <bottom/>
      <diagonal/>
    </border>
    <border>
      <left style="thin">
        <color theme="0"/>
      </left>
      <right style="thin">
        <color theme="0"/>
      </right>
      <top style="medium">
        <color rgb="FFFF0000"/>
      </top>
      <bottom/>
      <diagonal/>
    </border>
    <border>
      <left style="thin">
        <color theme="0"/>
      </left>
      <right style="thin">
        <color theme="0"/>
      </right>
      <top style="thin">
        <color theme="0" tint="-0.34998626667073579"/>
      </top>
      <bottom style="thin">
        <color theme="0" tint="-0.34998626667073579"/>
      </bottom>
      <diagonal/>
    </border>
    <border>
      <left style="medium">
        <color rgb="FFFFFFFF"/>
      </left>
      <right style="medium">
        <color rgb="FFFFFFFF"/>
      </right>
      <top style="thin">
        <color theme="0" tint="-0.34998626667073579"/>
      </top>
      <bottom style="thin">
        <color theme="0" tint="-0.34998626667073579"/>
      </bottom>
      <diagonal/>
    </border>
    <border>
      <left/>
      <right/>
      <top style="thin">
        <color theme="0" tint="-0.499984740745262"/>
      </top>
      <bottom style="thick">
        <color rgb="FFFF0000"/>
      </bottom>
      <diagonal/>
    </border>
    <border>
      <left/>
      <right/>
      <top style="thin">
        <color theme="4" tint="-0.499984740745262"/>
      </top>
      <bottom style="thin">
        <color theme="4" tint="-0.499984740745262"/>
      </bottom>
      <diagonal/>
    </border>
    <border>
      <left/>
      <right style="thin">
        <color rgb="FFFF0000"/>
      </right>
      <top/>
      <bottom style="medium">
        <color indexed="10"/>
      </bottom>
      <diagonal/>
    </border>
    <border>
      <left/>
      <right style="thin">
        <color rgb="FFFF0000"/>
      </right>
      <top/>
      <bottom/>
      <diagonal/>
    </border>
    <border>
      <left/>
      <right style="thin">
        <color rgb="FFFF0000"/>
      </right>
      <top/>
      <bottom style="thin">
        <color indexed="64"/>
      </bottom>
      <diagonal/>
    </border>
    <border>
      <left/>
      <right/>
      <top style="thin">
        <color theme="4" tint="-0.499984740745262"/>
      </top>
      <bottom/>
      <diagonal/>
    </border>
  </borders>
  <cellStyleXfs count="205">
    <xf numFmtId="0" fontId="0" fillId="0" borderId="0"/>
    <xf numFmtId="0" fontId="16" fillId="0" borderId="0"/>
    <xf numFmtId="0" fontId="64" fillId="0" borderId="0" applyNumberFormat="0" applyFill="0" applyBorder="0" applyAlignment="0" applyProtection="0"/>
    <xf numFmtId="0" fontId="16" fillId="0" borderId="0"/>
    <xf numFmtId="0" fontId="64"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2" borderId="0" applyNumberFormat="0" applyBorder="0" applyAlignment="0" applyProtection="0"/>
    <xf numFmtId="0" fontId="17" fillId="5" borderId="0" applyNumberFormat="0" applyBorder="0" applyAlignment="0" applyProtection="0"/>
    <xf numFmtId="0" fontId="17" fillId="3"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5" borderId="0" applyNumberFormat="0" applyBorder="0" applyAlignment="0" applyProtection="0"/>
    <xf numFmtId="0" fontId="14" fillId="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3" borderId="0" applyNumberFormat="0" applyBorder="0" applyAlignment="0" applyProtection="0"/>
    <xf numFmtId="0" fontId="14" fillId="13"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9" fillId="16"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6" borderId="0" applyNumberFormat="0" applyBorder="0" applyAlignment="0" applyProtection="0"/>
    <xf numFmtId="0" fontId="19" fillId="3" borderId="0" applyNumberFormat="0" applyBorder="0" applyAlignment="0" applyProtection="0"/>
    <xf numFmtId="0" fontId="18" fillId="17"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6" borderId="0" applyNumberFormat="0" applyBorder="0" applyAlignment="0" applyProtection="0"/>
    <xf numFmtId="0" fontId="19" fillId="23"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39" fillId="7" borderId="0" applyNumberFormat="0" applyBorder="0" applyAlignment="0" applyProtection="0"/>
    <xf numFmtId="0" fontId="32" fillId="2" borderId="1" applyNumberFormat="0" applyAlignment="0" applyProtection="0"/>
    <xf numFmtId="3" fontId="22" fillId="0" borderId="0" applyProtection="0"/>
    <xf numFmtId="0" fontId="36" fillId="25" borderId="2" applyNumberFormat="0" applyAlignment="0" applyProtection="0"/>
    <xf numFmtId="38" fontId="25" fillId="0" borderId="0" applyFont="0" applyFill="0" applyBorder="0" applyAlignment="0" applyProtection="0"/>
    <xf numFmtId="166" fontId="22" fillId="0" borderId="0">
      <protection locked="0"/>
    </xf>
    <xf numFmtId="164" fontId="16" fillId="0" borderId="0" applyFont="0" applyFill="0" applyBorder="0" applyAlignment="0" applyProtection="0"/>
    <xf numFmtId="3" fontId="23" fillId="0" borderId="0" applyFont="0" applyFill="0" applyBorder="0" applyAlignment="0" applyProtection="0"/>
    <xf numFmtId="6" fontId="25" fillId="0" borderId="0" applyFont="0" applyFill="0" applyBorder="0" applyAlignment="0" applyProtection="0"/>
    <xf numFmtId="167" fontId="22" fillId="0" borderId="0">
      <protection locked="0"/>
    </xf>
    <xf numFmtId="44" fontId="16" fillId="0" borderId="0" applyFont="0" applyFill="0" applyBorder="0" applyAlignment="0" applyProtection="0"/>
    <xf numFmtId="168" fontId="23" fillId="0" borderId="0" applyFont="0" applyFill="0" applyBorder="0" applyAlignment="0" applyProtection="0"/>
    <xf numFmtId="0" fontId="60" fillId="3" borderId="1" applyNumberFormat="0" applyAlignment="0" applyProtection="0"/>
    <xf numFmtId="0" fontId="60" fillId="3" borderId="1" applyNumberFormat="0" applyAlignment="0" applyProtection="0"/>
    <xf numFmtId="0" fontId="47" fillId="10" borderId="3" applyNumberFormat="0" applyAlignment="0" applyProtection="0"/>
    <xf numFmtId="0" fontId="47" fillId="10" borderId="3" applyNumberFormat="0" applyAlignment="0" applyProtection="0"/>
    <xf numFmtId="49" fontId="31" fillId="0" borderId="4">
      <alignment horizontal="right" wrapText="1"/>
    </xf>
    <xf numFmtId="0" fontId="23" fillId="0" borderId="0" applyFont="0" applyFill="0" applyBorder="0" applyAlignment="0" applyProtection="0"/>
    <xf numFmtId="0" fontId="49" fillId="8" borderId="0" applyNumberFormat="0" applyBorder="0" applyAlignment="0" applyProtection="0"/>
    <xf numFmtId="169" fontId="64" fillId="0" borderId="0" applyFont="0" applyFill="0" applyBorder="0" applyAlignment="0" applyProtection="0"/>
    <xf numFmtId="0" fontId="50" fillId="0" borderId="0" applyNumberFormat="0" applyFill="0" applyBorder="0" applyAlignment="0" applyProtection="0"/>
    <xf numFmtId="2" fontId="23" fillId="0" borderId="0" applyFont="0" applyFill="0" applyBorder="0" applyAlignment="0" applyProtection="0"/>
    <xf numFmtId="170" fontId="7" fillId="26" borderId="0" applyFont="0" applyFill="0" applyBorder="0" applyAlignment="0" applyProtection="0">
      <protection locked="0"/>
    </xf>
    <xf numFmtId="0" fontId="46" fillId="8" borderId="0" applyNumberFormat="0" applyBorder="0" applyAlignment="0" applyProtection="0"/>
    <xf numFmtId="171" fontId="24" fillId="0" borderId="0" applyFill="0" applyBorder="0" applyProtection="0">
      <alignment horizontal="right"/>
    </xf>
    <xf numFmtId="172" fontId="24" fillId="0" borderId="0" applyFill="0" applyBorder="0" applyAlignment="0" applyProtection="0"/>
    <xf numFmtId="37" fontId="24" fillId="0" borderId="0" applyFill="0" applyBorder="0" applyProtection="0">
      <alignment horizontal="right"/>
    </xf>
    <xf numFmtId="173" fontId="44" fillId="0" borderId="0"/>
    <xf numFmtId="174" fontId="3" fillId="4" borderId="5" applyNumberFormat="0" applyFont="0" applyAlignment="0"/>
    <xf numFmtId="0" fontId="55" fillId="0" borderId="0" applyNumberFormat="0" applyFill="0" applyBorder="0" applyAlignment="0" applyProtection="0"/>
    <xf numFmtId="0" fontId="72" fillId="0" borderId="6" applyNumberFormat="0" applyFill="0" applyAlignment="0" applyProtection="0"/>
    <xf numFmtId="0" fontId="62" fillId="0" borderId="0" applyNumberFormat="0" applyFill="0" applyBorder="0" applyAlignment="0" applyProtection="0"/>
    <xf numFmtId="0" fontId="73"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175" fontId="22" fillId="0" borderId="0">
      <protection locked="0"/>
    </xf>
    <xf numFmtId="175" fontId="22" fillId="0" borderId="0">
      <protection locked="0"/>
    </xf>
    <xf numFmtId="0" fontId="92" fillId="0" borderId="0" applyNumberFormat="0" applyFill="0" applyBorder="0" applyAlignment="0" applyProtection="0"/>
    <xf numFmtId="0" fontId="93" fillId="0" borderId="0" applyNumberFormat="0" applyFill="0" applyBorder="0" applyAlignment="0" applyProtection="0"/>
    <xf numFmtId="0" fontId="29" fillId="0" borderId="0" applyNumberFormat="0" applyFill="0" applyBorder="0" applyAlignment="0" applyProtection="0">
      <alignment vertical="top"/>
      <protection locked="0"/>
    </xf>
    <xf numFmtId="0" fontId="57" fillId="3" borderId="1" applyNumberFormat="0" applyAlignment="0" applyProtection="0"/>
    <xf numFmtId="0" fontId="35" fillId="0" borderId="9" applyNumberFormat="0" applyFill="0" applyAlignment="0" applyProtection="0"/>
    <xf numFmtId="0" fontId="35" fillId="0" borderId="9" applyNumberFormat="0" applyFill="0" applyAlignment="0" applyProtection="0"/>
    <xf numFmtId="0" fontId="37" fillId="25" borderId="2" applyNumberFormat="0" applyAlignment="0" applyProtection="0"/>
    <xf numFmtId="0" fontId="37" fillId="25" borderId="2" applyNumberFormat="0" applyAlignment="0" applyProtection="0"/>
    <xf numFmtId="0" fontId="33" fillId="0" borderId="9" applyNumberFormat="0" applyFill="0" applyAlignment="0" applyProtection="0"/>
    <xf numFmtId="0" fontId="64" fillId="0" borderId="0"/>
    <xf numFmtId="0" fontId="64" fillId="0" borderId="0"/>
    <xf numFmtId="0" fontId="64" fillId="0" borderId="0"/>
    <xf numFmtId="0" fontId="14" fillId="0" borderId="0"/>
    <xf numFmtId="176" fontId="16" fillId="0" borderId="0" applyFont="0" applyFill="0" applyBorder="0" applyAlignment="0" applyProtection="0"/>
    <xf numFmtId="177" fontId="64" fillId="0" borderId="0" applyFont="0" applyFill="0" applyBorder="0" applyAlignment="0" applyProtection="0"/>
    <xf numFmtId="0" fontId="51" fillId="0" borderId="10" applyNumberFormat="0" applyFill="0" applyAlignment="0" applyProtection="0"/>
    <xf numFmtId="0" fontId="51" fillId="0" borderId="10" applyNumberFormat="0" applyFill="0" applyAlignment="0" applyProtection="0"/>
    <xf numFmtId="0" fontId="43" fillId="0" borderId="7" applyNumberFormat="0" applyFill="0" applyAlignment="0" applyProtection="0"/>
    <xf numFmtId="0" fontId="43" fillId="0" borderId="7"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8" fillId="12" borderId="0" applyNumberFormat="0" applyBorder="0" applyAlignment="0" applyProtection="0"/>
    <xf numFmtId="0" fontId="42" fillId="12" borderId="0" applyNumberFormat="0" applyBorder="0" applyAlignment="0" applyProtection="0"/>
    <xf numFmtId="0" fontId="16" fillId="0" borderId="0"/>
    <xf numFmtId="0" fontId="16" fillId="0" borderId="0"/>
    <xf numFmtId="0" fontId="94" fillId="0" borderId="0"/>
    <xf numFmtId="0" fontId="64" fillId="0" borderId="0"/>
    <xf numFmtId="0" fontId="64" fillId="0" borderId="0"/>
    <xf numFmtId="0" fontId="69" fillId="0" borderId="0"/>
    <xf numFmtId="0" fontId="95" fillId="0" borderId="0"/>
    <xf numFmtId="0" fontId="94" fillId="0" borderId="0"/>
    <xf numFmtId="0" fontId="64" fillId="0" borderId="0"/>
    <xf numFmtId="0" fontId="64" fillId="0" borderId="0" applyNumberFormat="0" applyFill="0" applyBorder="0" applyAlignment="0" applyProtection="0"/>
    <xf numFmtId="0" fontId="25" fillId="0" borderId="0"/>
    <xf numFmtId="0" fontId="64" fillId="0" borderId="0"/>
    <xf numFmtId="0" fontId="64" fillId="0" borderId="0"/>
    <xf numFmtId="0" fontId="40" fillId="0" borderId="0"/>
    <xf numFmtId="0" fontId="14" fillId="4" borderId="12" applyNumberFormat="0" applyFont="0" applyAlignment="0" applyProtection="0"/>
    <xf numFmtId="0" fontId="30" fillId="10" borderId="1" applyNumberFormat="0" applyAlignment="0" applyProtection="0"/>
    <xf numFmtId="0" fontId="30" fillId="10" borderId="1" applyNumberFormat="0" applyAlignment="0" applyProtection="0"/>
    <xf numFmtId="0" fontId="41" fillId="2" borderId="3" applyNumberFormat="0" applyAlignment="0" applyProtection="0"/>
    <xf numFmtId="178" fontId="22" fillId="0" borderId="0">
      <protection locked="0"/>
    </xf>
    <xf numFmtId="179" fontId="64" fillId="0" borderId="0" applyFill="0" applyBorder="0" applyAlignment="0" applyProtection="0"/>
    <xf numFmtId="9" fontId="64" fillId="0" borderId="0" applyFont="0" applyFill="0" applyBorder="0" applyAlignment="0" applyProtection="0"/>
    <xf numFmtId="9" fontId="17" fillId="0" borderId="0" applyFont="0" applyFill="0" applyBorder="0" applyAlignment="0" applyProtection="0"/>
    <xf numFmtId="4" fontId="21" fillId="12" borderId="13" applyNumberFormat="0" applyProtection="0">
      <alignment vertical="center"/>
    </xf>
    <xf numFmtId="4" fontId="56" fillId="12" borderId="13" applyNumberFormat="0" applyProtection="0">
      <alignment vertical="center"/>
    </xf>
    <xf numFmtId="4" fontId="21" fillId="12" borderId="13" applyNumberFormat="0" applyProtection="0">
      <alignment horizontal="left" vertical="center" indent="1"/>
    </xf>
    <xf numFmtId="0" fontId="21" fillId="12" borderId="13" applyNumberFormat="0" applyProtection="0">
      <alignment horizontal="left" vertical="top" indent="1"/>
    </xf>
    <xf numFmtId="4" fontId="21" fillId="27" borderId="0" applyNumberFormat="0" applyProtection="0">
      <alignment horizontal="left" vertical="center" indent="1"/>
    </xf>
    <xf numFmtId="4" fontId="10" fillId="7" borderId="13" applyNumberFormat="0" applyProtection="0">
      <alignment horizontal="right" vertical="center"/>
    </xf>
    <xf numFmtId="4" fontId="10" fillId="11" borderId="13" applyNumberFormat="0" applyProtection="0">
      <alignment horizontal="right" vertical="center"/>
    </xf>
    <xf numFmtId="4" fontId="10" fillId="20" borderId="13" applyNumberFormat="0" applyProtection="0">
      <alignment horizontal="right" vertical="center"/>
    </xf>
    <xf numFmtId="4" fontId="10" fillId="15" borderId="13" applyNumberFormat="0" applyProtection="0">
      <alignment horizontal="right" vertical="center"/>
    </xf>
    <xf numFmtId="4" fontId="10" fillId="19" borderId="13" applyNumberFormat="0" applyProtection="0">
      <alignment horizontal="right" vertical="center"/>
    </xf>
    <xf numFmtId="4" fontId="10" fillId="23" borderId="13" applyNumberFormat="0" applyProtection="0">
      <alignment horizontal="right" vertical="center"/>
    </xf>
    <xf numFmtId="4" fontId="10" fillId="21" borderId="13" applyNumberFormat="0" applyProtection="0">
      <alignment horizontal="right" vertical="center"/>
    </xf>
    <xf numFmtId="4" fontId="10" fillId="28" borderId="13" applyNumberFormat="0" applyProtection="0">
      <alignment horizontal="right" vertical="center"/>
    </xf>
    <xf numFmtId="4" fontId="10" fillId="14" borderId="13" applyNumberFormat="0" applyProtection="0">
      <alignment horizontal="right" vertical="center"/>
    </xf>
    <xf numFmtId="4" fontId="21" fillId="29" borderId="14" applyNumberFormat="0" applyProtection="0">
      <alignment horizontal="left" vertical="center" indent="1"/>
    </xf>
    <xf numFmtId="4" fontId="10" fillId="30" borderId="0" applyNumberFormat="0" applyProtection="0">
      <alignment horizontal="left" vertical="center" indent="1"/>
    </xf>
    <xf numFmtId="4" fontId="63" fillId="22" borderId="0" applyNumberFormat="0" applyProtection="0">
      <alignment horizontal="left" vertical="center" indent="1"/>
    </xf>
    <xf numFmtId="4" fontId="10" fillId="27" borderId="13" applyNumberFormat="0" applyProtection="0">
      <alignment horizontal="right" vertical="center"/>
    </xf>
    <xf numFmtId="4" fontId="10" fillId="30" borderId="0" applyNumberFormat="0" applyProtection="0">
      <alignment horizontal="left" vertical="center" indent="1"/>
    </xf>
    <xf numFmtId="4" fontId="10" fillId="27" borderId="0" applyNumberFormat="0" applyProtection="0">
      <alignment horizontal="left" vertical="center" indent="1"/>
    </xf>
    <xf numFmtId="0" fontId="64" fillId="22" borderId="13" applyNumberFormat="0" applyProtection="0">
      <alignment horizontal="left" vertical="center" indent="1"/>
    </xf>
    <xf numFmtId="0" fontId="64" fillId="22" borderId="13" applyNumberFormat="0" applyProtection="0">
      <alignment horizontal="left" vertical="top" indent="1"/>
    </xf>
    <xf numFmtId="0" fontId="64" fillId="27" borderId="13" applyNumberFormat="0" applyProtection="0">
      <alignment horizontal="left" vertical="center" indent="1"/>
    </xf>
    <xf numFmtId="0" fontId="64" fillId="27" borderId="13" applyNumberFormat="0" applyProtection="0">
      <alignment horizontal="left" vertical="top" indent="1"/>
    </xf>
    <xf numFmtId="0" fontId="64" fillId="13" borderId="13" applyNumberFormat="0" applyProtection="0">
      <alignment horizontal="left" vertical="center" indent="1"/>
    </xf>
    <xf numFmtId="0" fontId="64" fillId="13" borderId="13" applyNumberFormat="0" applyProtection="0">
      <alignment horizontal="left" vertical="top" indent="1"/>
    </xf>
    <xf numFmtId="0" fontId="64" fillId="30" borderId="13" applyNumberFormat="0" applyProtection="0">
      <alignment horizontal="left" vertical="center" indent="1"/>
    </xf>
    <xf numFmtId="0" fontId="64" fillId="30" borderId="13" applyNumberFormat="0" applyProtection="0">
      <alignment horizontal="left" vertical="top" indent="1"/>
    </xf>
    <xf numFmtId="4" fontId="10" fillId="4" borderId="13" applyNumberFormat="0" applyProtection="0">
      <alignment vertical="center"/>
    </xf>
    <xf numFmtId="4" fontId="27" fillId="4" borderId="13" applyNumberFormat="0" applyProtection="0">
      <alignment vertical="center"/>
    </xf>
    <xf numFmtId="4" fontId="10" fillId="4" borderId="13" applyNumberFormat="0" applyProtection="0">
      <alignment horizontal="left" vertical="center" indent="1"/>
    </xf>
    <xf numFmtId="0" fontId="10" fillId="4" borderId="13" applyNumberFormat="0" applyProtection="0">
      <alignment horizontal="left" vertical="top" indent="1"/>
    </xf>
    <xf numFmtId="4" fontId="10" fillId="30" borderId="13" applyNumberFormat="0" applyProtection="0">
      <alignment horizontal="right" vertical="center"/>
    </xf>
    <xf numFmtId="4" fontId="27" fillId="30" borderId="13" applyNumberFormat="0" applyProtection="0">
      <alignment horizontal="right" vertical="center"/>
    </xf>
    <xf numFmtId="4" fontId="10" fillId="27" borderId="13" applyNumberFormat="0" applyProtection="0">
      <alignment horizontal="left" vertical="center" indent="1"/>
    </xf>
    <xf numFmtId="0" fontId="10" fillId="27" borderId="13" applyNumberFormat="0" applyProtection="0">
      <alignment horizontal="left" vertical="top" indent="1"/>
    </xf>
    <xf numFmtId="4" fontId="48" fillId="31" borderId="0" applyNumberFormat="0" applyProtection="0">
      <alignment horizontal="left" vertical="center" indent="1"/>
    </xf>
    <xf numFmtId="4" fontId="20" fillId="30" borderId="13" applyNumberFormat="0" applyProtection="0">
      <alignment horizontal="right" vertical="center"/>
    </xf>
    <xf numFmtId="0" fontId="58" fillId="0" borderId="0" applyNumberFormat="0" applyFill="0" applyBorder="0" applyAlignment="0" applyProtection="0">
      <alignment vertical="top"/>
      <protection locked="0"/>
    </xf>
    <xf numFmtId="0" fontId="7" fillId="0" borderId="0"/>
    <xf numFmtId="0" fontId="16" fillId="0" borderId="0"/>
    <xf numFmtId="0" fontId="61" fillId="0" borderId="15" applyNumberFormat="0" applyFill="0" applyAlignment="0" applyProtection="0"/>
    <xf numFmtId="0" fontId="61" fillId="0" borderId="1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54" fillId="0" borderId="0" applyNumberFormat="0" applyFill="0" applyBorder="0" applyAlignment="0" applyProtection="0"/>
    <xf numFmtId="0" fontId="23" fillId="0" borderId="16" applyNumberFormat="0" applyFont="0" applyFill="0" applyAlignment="0" applyProtection="0"/>
    <xf numFmtId="0" fontId="74" fillId="0" borderId="17"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180" fontId="64" fillId="0" borderId="0" applyFont="0" applyFill="0" applyBorder="0" applyAlignment="0" applyProtection="0"/>
    <xf numFmtId="0" fontId="64" fillId="4" borderId="12" applyNumberFormat="0" applyFont="0" applyAlignment="0" applyProtection="0"/>
    <xf numFmtId="0" fontId="64" fillId="4" borderId="12" applyNumberFormat="0" applyFont="0" applyAlignment="0" applyProtection="0"/>
    <xf numFmtId="0" fontId="52" fillId="0" borderId="0" applyNumberFormat="0" applyFill="0" applyBorder="0" applyAlignment="0" applyProtection="0"/>
    <xf numFmtId="181" fontId="13" fillId="0" borderId="0">
      <alignment horizontal="right" vertical="center"/>
      <protection locked="0"/>
    </xf>
    <xf numFmtId="182" fontId="64" fillId="0" borderId="0" applyFont="0" applyFill="0" applyBorder="0" applyAlignment="0" applyProtection="0"/>
    <xf numFmtId="0" fontId="45" fillId="7" borderId="0" applyNumberFormat="0" applyBorder="0" applyAlignment="0" applyProtection="0"/>
    <xf numFmtId="0" fontId="119" fillId="0" borderId="0"/>
    <xf numFmtId="9" fontId="139" fillId="0" borderId="0" applyFont="0" applyFill="0" applyBorder="0" applyAlignment="0" applyProtection="0"/>
    <xf numFmtId="0" fontId="69" fillId="0" borderId="0"/>
  </cellStyleXfs>
  <cellXfs count="1021">
    <xf numFmtId="0" fontId="0" fillId="0" borderId="0" xfId="0"/>
    <xf numFmtId="0" fontId="1" fillId="0" borderId="0" xfId="0" applyFont="1" applyAlignment="1">
      <alignment vertical="center"/>
    </xf>
    <xf numFmtId="0" fontId="1" fillId="2"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protection locked="0"/>
    </xf>
    <xf numFmtId="0" fontId="1" fillId="0" borderId="0" xfId="0" applyFont="1"/>
    <xf numFmtId="3" fontId="1" fillId="0" borderId="0" xfId="0" applyNumberFormat="1" applyFont="1" applyAlignment="1">
      <alignment vertical="center"/>
    </xf>
    <xf numFmtId="0" fontId="1" fillId="2" borderId="0" xfId="0" applyFont="1" applyFill="1" applyAlignment="1">
      <alignment horizontal="left"/>
    </xf>
    <xf numFmtId="3" fontId="3" fillId="0" borderId="0" xfId="0" applyNumberFormat="1" applyFont="1" applyAlignment="1">
      <alignment horizontal="right" vertical="center" wrapText="1"/>
    </xf>
    <xf numFmtId="0" fontId="9" fillId="33" borderId="34" xfId="0" applyFont="1" applyFill="1" applyBorder="1" applyAlignment="1">
      <alignment horizontal="center" vertical="center" wrapText="1"/>
    </xf>
    <xf numFmtId="0" fontId="1" fillId="0" borderId="0" xfId="0" applyFont="1" applyAlignment="1">
      <alignment horizontal="right"/>
    </xf>
    <xf numFmtId="183" fontId="1" fillId="0" borderId="35" xfId="0" applyNumberFormat="1" applyFont="1" applyBorder="1" applyAlignment="1">
      <alignment horizontal="right"/>
    </xf>
    <xf numFmtId="2" fontId="1" fillId="0" borderId="35" xfId="0" applyNumberFormat="1" applyFont="1" applyBorder="1" applyAlignment="1">
      <alignment horizontal="right"/>
    </xf>
    <xf numFmtId="0" fontId="1" fillId="0" borderId="0" xfId="0" applyFont="1" applyAlignment="1">
      <alignment horizontal="left"/>
    </xf>
    <xf numFmtId="0" fontId="3" fillId="0" borderId="0" xfId="0" applyFont="1" applyAlignment="1">
      <alignment horizontal="left"/>
    </xf>
    <xf numFmtId="0" fontId="96" fillId="33" borderId="36" xfId="0" applyFont="1" applyFill="1" applyBorder="1" applyAlignment="1">
      <alignment horizontal="center" vertical="center" wrapText="1"/>
    </xf>
    <xf numFmtId="0" fontId="0" fillId="0" borderId="0" xfId="0" applyAlignment="1">
      <alignment horizontal="left"/>
    </xf>
    <xf numFmtId="0" fontId="15" fillId="0" borderId="0" xfId="0" applyFont="1" applyAlignment="1" applyProtection="1">
      <alignment vertical="center"/>
      <protection locked="0"/>
    </xf>
    <xf numFmtId="2" fontId="1" fillId="0" borderId="0" xfId="0" applyNumberFormat="1" applyFont="1"/>
    <xf numFmtId="0" fontId="1" fillId="0" borderId="35" xfId="0" applyFont="1" applyBorder="1" applyAlignment="1">
      <alignment horizontal="left" vertical="center" wrapText="1"/>
    </xf>
    <xf numFmtId="0" fontId="1" fillId="0" borderId="0" xfId="0" applyFont="1" applyAlignment="1">
      <alignment horizontal="left" vertical="center" wrapText="1"/>
    </xf>
    <xf numFmtId="3" fontId="1" fillId="0" borderId="0" xfId="0" applyNumberFormat="1" applyFont="1" applyAlignment="1">
      <alignment horizontal="right"/>
    </xf>
    <xf numFmtId="0" fontId="3" fillId="0" borderId="0" xfId="0" applyFont="1" applyAlignment="1">
      <alignment horizontal="right" wrapText="1"/>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wrapText="1"/>
    </xf>
    <xf numFmtId="0" fontId="5" fillId="0" borderId="0" xfId="0" applyFont="1" applyAlignment="1">
      <alignment vertical="center"/>
    </xf>
    <xf numFmtId="0" fontId="3" fillId="0" borderId="0" xfId="0" applyFont="1" applyAlignment="1">
      <alignment horizontal="right" vertical="center" wrapText="1"/>
    </xf>
    <xf numFmtId="165" fontId="4" fillId="2" borderId="0" xfId="131" applyNumberFormat="1" applyFont="1" applyFill="1" applyAlignment="1" applyProtection="1">
      <alignment horizontal="right" vertical="center" wrapText="1"/>
      <protection locked="0"/>
    </xf>
    <xf numFmtId="0" fontId="12" fillId="0" borderId="0" xfId="0" applyFont="1"/>
    <xf numFmtId="0" fontId="12" fillId="0" borderId="0" xfId="0" applyFont="1" applyAlignment="1">
      <alignment vertical="center"/>
    </xf>
    <xf numFmtId="0" fontId="1" fillId="2" borderId="0" xfId="0" applyFont="1" applyFill="1" applyAlignment="1" applyProtection="1">
      <alignment vertical="center"/>
      <protection locked="0"/>
    </xf>
    <xf numFmtId="186" fontId="3" fillId="0" borderId="0" xfId="0" quotePrefix="1" applyNumberFormat="1" applyFont="1" applyAlignment="1" applyProtection="1">
      <alignment horizontal="right" vertical="center" wrapText="1"/>
      <protection locked="0"/>
    </xf>
    <xf numFmtId="185" fontId="1" fillId="0" borderId="0" xfId="0" applyNumberFormat="1" applyFont="1" applyAlignment="1">
      <alignment horizontal="right"/>
    </xf>
    <xf numFmtId="3" fontId="1" fillId="2" borderId="0" xfId="0" applyNumberFormat="1" applyFont="1" applyFill="1" applyAlignment="1" applyProtection="1">
      <alignment vertical="center"/>
      <protection locked="0"/>
    </xf>
    <xf numFmtId="187" fontId="1" fillId="0" borderId="0" xfId="0" applyNumberFormat="1" applyFont="1"/>
    <xf numFmtId="185" fontId="3" fillId="0" borderId="0" xfId="0" quotePrefix="1" applyNumberFormat="1" applyFont="1" applyAlignment="1" applyProtection="1">
      <alignment horizontal="right" vertical="center" wrapText="1"/>
      <protection locked="0"/>
    </xf>
    <xf numFmtId="0" fontId="9" fillId="33" borderId="37" xfId="0" applyFont="1" applyFill="1" applyBorder="1" applyAlignment="1">
      <alignment horizontal="center" vertical="center" wrapText="1"/>
    </xf>
    <xf numFmtId="0" fontId="97" fillId="0" borderId="38" xfId="0" applyFont="1" applyBorder="1" applyAlignment="1">
      <alignment horizontal="right" vertical="center" wrapText="1"/>
    </xf>
    <xf numFmtId="0" fontId="1" fillId="0" borderId="35" xfId="0" applyFont="1" applyBorder="1" applyAlignment="1">
      <alignment horizontal="right"/>
    </xf>
    <xf numFmtId="0" fontId="1" fillId="0" borderId="39" xfId="0" applyFont="1" applyBorder="1" applyAlignment="1">
      <alignment horizontal="center"/>
    </xf>
    <xf numFmtId="0" fontId="1" fillId="0" borderId="40" xfId="0" applyFont="1" applyBorder="1" applyAlignment="1">
      <alignment horizontal="left" vertical="center"/>
    </xf>
    <xf numFmtId="0" fontId="1" fillId="0" borderId="41" xfId="0" applyFont="1" applyBorder="1" applyAlignment="1">
      <alignment horizontal="left" vertical="center" wrapText="1"/>
    </xf>
    <xf numFmtId="0" fontId="3" fillId="0" borderId="0" xfId="0" applyFont="1" applyAlignment="1" applyProtection="1">
      <alignment vertical="center" wrapText="1"/>
      <protection locked="0"/>
    </xf>
    <xf numFmtId="0" fontId="1" fillId="0" borderId="42" xfId="0" applyFont="1" applyBorder="1" applyAlignment="1">
      <alignment vertical="center" wrapText="1"/>
    </xf>
    <xf numFmtId="0" fontId="4" fillId="0" borderId="0" xfId="0" applyFont="1" applyAlignment="1">
      <alignment horizontal="center" vertical="center"/>
    </xf>
    <xf numFmtId="0" fontId="1" fillId="0" borderId="0" xfId="0" applyFont="1" applyAlignment="1">
      <alignment horizontal="left" vertical="center"/>
    </xf>
    <xf numFmtId="0" fontId="1" fillId="0" borderId="43" xfId="0" applyFont="1" applyBorder="1" applyAlignment="1">
      <alignment horizontal="left" vertical="center"/>
    </xf>
    <xf numFmtId="0" fontId="1" fillId="0" borderId="24" xfId="0" applyFont="1" applyBorder="1" applyAlignment="1">
      <alignment horizontal="center"/>
    </xf>
    <xf numFmtId="0" fontId="15" fillId="2" borderId="0" xfId="0" applyFont="1" applyFill="1" applyAlignment="1" applyProtection="1">
      <alignment vertical="center"/>
      <protection locked="0"/>
    </xf>
    <xf numFmtId="0" fontId="12" fillId="0" borderId="0" xfId="0" applyFont="1" applyAlignment="1">
      <alignment vertical="center" wrapText="1"/>
    </xf>
    <xf numFmtId="0" fontId="1" fillId="0" borderId="42" xfId="0" applyFont="1" applyBorder="1" applyAlignment="1">
      <alignment horizontal="left" vertical="center" wrapText="1"/>
    </xf>
    <xf numFmtId="0" fontId="0" fillId="0" borderId="0" xfId="0" applyAlignment="1">
      <alignment vertical="center"/>
    </xf>
    <xf numFmtId="0" fontId="97" fillId="0" borderId="38" xfId="0" applyFont="1" applyBorder="1" applyAlignment="1">
      <alignment horizontal="right" vertical="center"/>
    </xf>
    <xf numFmtId="0" fontId="0" fillId="0" borderId="0" xfId="0" applyAlignment="1">
      <alignment vertical="center" wrapText="1"/>
    </xf>
    <xf numFmtId="0" fontId="65" fillId="0" borderId="0" xfId="0" applyFont="1" applyAlignment="1">
      <alignment vertical="center"/>
    </xf>
    <xf numFmtId="0" fontId="68" fillId="0" borderId="0" xfId="0" applyFont="1" applyAlignment="1">
      <alignment vertical="center"/>
    </xf>
    <xf numFmtId="0" fontId="65" fillId="0" borderId="0" xfId="0" applyFont="1"/>
    <xf numFmtId="0" fontId="68" fillId="0" borderId="44" xfId="0" applyFont="1" applyBorder="1" applyAlignment="1">
      <alignment horizontal="left" vertical="center" wrapText="1"/>
    </xf>
    <xf numFmtId="0" fontId="68" fillId="0" borderId="0" xfId="0" applyFont="1" applyAlignment="1">
      <alignment horizontal="left" vertical="center" wrapText="1"/>
    </xf>
    <xf numFmtId="0" fontId="1" fillId="0" borderId="0" xfId="0" applyFont="1" applyAlignment="1">
      <alignment horizontal="center"/>
    </xf>
    <xf numFmtId="0" fontId="1" fillId="32" borderId="0" xfId="0" applyFont="1" applyFill="1" applyAlignment="1">
      <alignment horizontal="center"/>
    </xf>
    <xf numFmtId="165" fontId="68" fillId="2" borderId="0" xfId="131" applyNumberFormat="1" applyFont="1" applyFill="1" applyAlignment="1" applyProtection="1">
      <alignment horizontal="right" vertical="center" wrapText="1"/>
      <protection locked="0"/>
    </xf>
    <xf numFmtId="0" fontId="11" fillId="0" borderId="0" xfId="0" applyFont="1"/>
    <xf numFmtId="165" fontId="67" fillId="2" borderId="0" xfId="131" applyNumberFormat="1" applyFont="1" applyFill="1" applyAlignment="1" applyProtection="1">
      <alignment horizontal="right" vertical="center" wrapText="1"/>
      <protection locked="0"/>
    </xf>
    <xf numFmtId="0" fontId="68" fillId="0" borderId="0" xfId="0" applyFont="1"/>
    <xf numFmtId="0" fontId="68" fillId="0" borderId="0" xfId="0" applyFont="1" applyAlignment="1" applyProtection="1">
      <alignment horizontal="left" vertical="center" wrapText="1"/>
      <protection locked="0"/>
    </xf>
    <xf numFmtId="0" fontId="68" fillId="0" borderId="0" xfId="0" applyFont="1" applyAlignment="1" applyProtection="1">
      <alignment horizontal="center" vertical="center" wrapText="1"/>
      <protection locked="0"/>
    </xf>
    <xf numFmtId="0" fontId="68" fillId="2" borderId="0" xfId="0" applyFont="1" applyFill="1" applyAlignment="1" applyProtection="1">
      <alignment horizontal="left"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left" vertical="center" wrapText="1"/>
      <protection locked="0"/>
    </xf>
    <xf numFmtId="0" fontId="68" fillId="0" borderId="46" xfId="0" applyFont="1" applyBorder="1" applyAlignment="1" applyProtection="1">
      <alignment horizontal="left" vertical="center" wrapText="1"/>
      <protection locked="0"/>
    </xf>
    <xf numFmtId="49" fontId="1" fillId="0" borderId="0" xfId="0" applyNumberFormat="1" applyFont="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67" fillId="0" borderId="47" xfId="0" applyFont="1" applyBorder="1" applyAlignment="1" applyProtection="1">
      <alignment horizontal="left" vertical="center" wrapText="1"/>
      <protection locked="0"/>
    </xf>
    <xf numFmtId="0" fontId="65" fillId="0" borderId="0" xfId="0" applyFont="1" applyAlignment="1" applyProtection="1">
      <alignment horizontal="left" vertical="center" wrapText="1"/>
      <protection locked="0"/>
    </xf>
    <xf numFmtId="0" fontId="67" fillId="0" borderId="0" xfId="0" applyFont="1" applyAlignment="1" applyProtection="1">
      <alignment horizontal="left" vertical="center" wrapText="1"/>
      <protection locked="0"/>
    </xf>
    <xf numFmtId="0" fontId="66" fillId="0" borderId="0" xfId="0" applyFont="1"/>
    <xf numFmtId="0" fontId="66" fillId="0" borderId="0" xfId="0" applyFont="1" applyAlignment="1" applyProtection="1">
      <alignment horizontal="left" vertical="center" wrapText="1" indent="1"/>
      <protection locked="0"/>
    </xf>
    <xf numFmtId="0" fontId="66" fillId="0" borderId="0" xfId="0" applyFont="1" applyAlignment="1">
      <alignment vertical="center"/>
    </xf>
    <xf numFmtId="0" fontId="5" fillId="0" borderId="0" xfId="0" applyFont="1" applyAlignment="1" applyProtection="1">
      <alignment horizontal="left" vertical="center" wrapText="1" indent="1"/>
      <protection locked="0"/>
    </xf>
    <xf numFmtId="0" fontId="5" fillId="0" borderId="42" xfId="0" applyFont="1" applyBorder="1" applyAlignment="1" applyProtection="1">
      <alignment horizontal="left" vertical="center" wrapText="1" indent="1"/>
      <protection locked="0"/>
    </xf>
    <xf numFmtId="0" fontId="5" fillId="0" borderId="0" xfId="0" applyFont="1"/>
    <xf numFmtId="0" fontId="1" fillId="2" borderId="0" xfId="0" applyFont="1" applyFill="1" applyAlignment="1" applyProtection="1">
      <alignment horizontal="left" vertical="center"/>
      <protection locked="0"/>
    </xf>
    <xf numFmtId="0" fontId="6" fillId="0" borderId="44" xfId="0" applyFont="1" applyBorder="1" applyAlignment="1">
      <alignment horizontal="left" vertical="center" wrapText="1"/>
    </xf>
    <xf numFmtId="0" fontId="6" fillId="0" borderId="44" xfId="0" applyFont="1" applyBorder="1" applyAlignment="1" applyProtection="1">
      <alignment horizontal="left" vertical="center" wrapText="1"/>
      <protection locked="0"/>
    </xf>
    <xf numFmtId="0" fontId="12" fillId="0" borderId="19" xfId="0" applyFont="1" applyBorder="1" applyAlignment="1" applyProtection="1">
      <alignment horizontal="center" vertical="center" wrapText="1"/>
      <protection locked="0"/>
    </xf>
    <xf numFmtId="0" fontId="12" fillId="2" borderId="19" xfId="0" applyFont="1" applyFill="1" applyBorder="1" applyAlignment="1" applyProtection="1">
      <alignment horizontal="center" vertical="center" wrapText="1"/>
      <protection locked="0"/>
    </xf>
    <xf numFmtId="0" fontId="68" fillId="0" borderId="35" xfId="0" applyFont="1" applyBorder="1" applyAlignment="1" applyProtection="1">
      <alignment horizontal="left" vertical="center" wrapText="1"/>
      <protection locked="0"/>
    </xf>
    <xf numFmtId="0" fontId="68" fillId="0" borderId="46" xfId="0" applyFont="1" applyBorder="1" applyAlignment="1">
      <alignment horizontal="left" vertical="center" wrapText="1"/>
    </xf>
    <xf numFmtId="0" fontId="68" fillId="0" borderId="48" xfId="0" applyFont="1" applyBorder="1" applyAlignment="1">
      <alignment horizontal="left" vertical="center" wrapText="1"/>
    </xf>
    <xf numFmtId="3" fontId="68" fillId="0" borderId="0" xfId="0" applyNumberFormat="1" applyFont="1" applyAlignment="1">
      <alignment horizontal="center" vertical="center" wrapText="1"/>
    </xf>
    <xf numFmtId="3" fontId="11" fillId="0" borderId="19" xfId="0" applyNumberFormat="1" applyFont="1" applyBorder="1" applyAlignment="1">
      <alignment horizontal="center" vertical="center" wrapText="1"/>
    </xf>
    <xf numFmtId="0" fontId="68" fillId="0" borderId="35" xfId="0" applyFont="1" applyBorder="1" applyAlignment="1">
      <alignment horizontal="left" vertical="center" wrapText="1"/>
    </xf>
    <xf numFmtId="0" fontId="1" fillId="0" borderId="46" xfId="0" applyFont="1" applyBorder="1" applyAlignment="1">
      <alignment horizontal="left" vertical="center" wrapText="1"/>
    </xf>
    <xf numFmtId="0" fontId="1" fillId="0" borderId="48" xfId="0" applyFont="1" applyBorder="1" applyAlignment="1">
      <alignment vertical="center" wrapText="1"/>
    </xf>
    <xf numFmtId="0" fontId="96" fillId="33" borderId="36" xfId="0" applyFont="1" applyFill="1" applyBorder="1" applyAlignment="1" applyProtection="1">
      <alignment horizontal="center" vertical="center" wrapText="1"/>
      <protection locked="0"/>
    </xf>
    <xf numFmtId="0" fontId="3" fillId="0" borderId="44" xfId="130" applyFont="1" applyFill="1" applyBorder="1" applyAlignment="1">
      <alignment vertical="center" wrapText="1"/>
    </xf>
    <xf numFmtId="0" fontId="3" fillId="0" borderId="44" xfId="0" applyFont="1" applyBorder="1" applyAlignment="1">
      <alignment vertical="center" wrapText="1"/>
    </xf>
    <xf numFmtId="0" fontId="1" fillId="0" borderId="0" xfId="134" applyFont="1" applyAlignment="1">
      <alignment vertical="center" wrapText="1"/>
    </xf>
    <xf numFmtId="0" fontId="1" fillId="0" borderId="46" xfId="134" applyFont="1" applyBorder="1" applyAlignment="1">
      <alignment vertical="center" wrapText="1"/>
    </xf>
    <xf numFmtId="0" fontId="1" fillId="0" borderId="0" xfId="134" applyFont="1" applyAlignment="1">
      <alignment vertical="center"/>
    </xf>
    <xf numFmtId="0" fontId="1" fillId="0" borderId="41" xfId="134" applyFont="1" applyBorder="1" applyAlignment="1">
      <alignment vertical="center" wrapText="1"/>
    </xf>
    <xf numFmtId="0" fontId="68" fillId="0" borderId="48" xfId="0" applyFont="1" applyBorder="1" applyAlignment="1" applyProtection="1">
      <alignment horizontal="left" vertical="center" wrapText="1"/>
      <protection locked="0"/>
    </xf>
    <xf numFmtId="0" fontId="11" fillId="0" borderId="49" xfId="0" applyFont="1" applyBorder="1" applyAlignment="1">
      <alignment horizontal="center" vertical="center"/>
    </xf>
    <xf numFmtId="0" fontId="11" fillId="0" borderId="37" xfId="0" applyFont="1" applyBorder="1" applyAlignment="1">
      <alignment horizontal="center" vertical="center"/>
    </xf>
    <xf numFmtId="2" fontId="1" fillId="34" borderId="0" xfId="0" applyNumberFormat="1" applyFont="1" applyFill="1"/>
    <xf numFmtId="0" fontId="1" fillId="34" borderId="0" xfId="0" applyFont="1" applyFill="1" applyAlignment="1">
      <alignment horizontal="right"/>
    </xf>
    <xf numFmtId="183" fontId="1" fillId="34" borderId="35" xfId="0" applyNumberFormat="1" applyFont="1" applyFill="1" applyBorder="1" applyAlignment="1">
      <alignment horizontal="right"/>
    </xf>
    <xf numFmtId="0" fontId="1" fillId="0" borderId="50" xfId="0" applyFont="1" applyBorder="1" applyAlignment="1">
      <alignment horizontal="center"/>
    </xf>
    <xf numFmtId="0" fontId="1" fillId="0" borderId="51" xfId="0" applyFont="1" applyBorder="1" applyAlignment="1">
      <alignment horizontal="right"/>
    </xf>
    <xf numFmtId="2" fontId="1" fillId="0" borderId="51" xfId="0" applyNumberFormat="1" applyFont="1" applyBorder="1" applyAlignment="1">
      <alignment horizontal="right"/>
    </xf>
    <xf numFmtId="183" fontId="1" fillId="0" borderId="51" xfId="0" applyNumberFormat="1" applyFont="1" applyBorder="1" applyAlignment="1">
      <alignment horizontal="right"/>
    </xf>
    <xf numFmtId="184" fontId="1" fillId="0" borderId="51" xfId="0" applyNumberFormat="1" applyFont="1" applyBorder="1" applyAlignment="1">
      <alignment horizontal="right"/>
    </xf>
    <xf numFmtId="183" fontId="1" fillId="34" borderId="47" xfId="0" applyNumberFormat="1" applyFont="1" applyFill="1" applyBorder="1" applyAlignment="1">
      <alignment horizontal="right"/>
    </xf>
    <xf numFmtId="0" fontId="1" fillId="0" borderId="52" xfId="0" applyFont="1" applyBorder="1" applyAlignment="1">
      <alignment horizontal="left" vertical="center"/>
    </xf>
    <xf numFmtId="0" fontId="11" fillId="0" borderId="53" xfId="0" applyFont="1" applyBorder="1" applyAlignment="1">
      <alignment horizontal="center" vertical="center"/>
    </xf>
    <xf numFmtId="0" fontId="11" fillId="0" borderId="37" xfId="0" applyFont="1" applyBorder="1" applyAlignment="1">
      <alignment horizontal="center" vertical="center" wrapText="1"/>
    </xf>
    <xf numFmtId="0" fontId="1" fillId="0" borderId="54" xfId="0" applyFont="1" applyBorder="1" applyAlignment="1">
      <alignment horizontal="left" vertical="center"/>
    </xf>
    <xf numFmtId="0" fontId="68" fillId="0" borderId="55" xfId="0" applyFont="1" applyBorder="1" applyAlignment="1">
      <alignment horizontal="left" vertical="center"/>
    </xf>
    <xf numFmtId="0" fontId="0" fillId="0" borderId="0" xfId="0" applyAlignment="1">
      <alignment vertical="top"/>
    </xf>
    <xf numFmtId="0" fontId="68" fillId="0" borderId="52" xfId="0" applyFont="1" applyBorder="1" applyAlignment="1">
      <alignment horizontal="left"/>
    </xf>
    <xf numFmtId="0" fontId="1" fillId="0" borderId="56" xfId="0" applyFont="1" applyBorder="1" applyAlignment="1">
      <alignment horizontal="left" vertical="center"/>
    </xf>
    <xf numFmtId="165" fontId="1" fillId="2" borderId="0" xfId="131" applyNumberFormat="1" applyFont="1" applyFill="1" applyAlignment="1" applyProtection="1">
      <alignment horizontal="right" vertical="center" wrapText="1"/>
      <protection locked="0"/>
    </xf>
    <xf numFmtId="0" fontId="1" fillId="0" borderId="47" xfId="0" applyFont="1" applyBorder="1" applyAlignment="1">
      <alignment horizontal="right"/>
    </xf>
    <xf numFmtId="183" fontId="1" fillId="0" borderId="47" xfId="0" applyNumberFormat="1" applyFont="1" applyBorder="1" applyAlignment="1">
      <alignment horizontal="right"/>
    </xf>
    <xf numFmtId="2" fontId="1" fillId="0" borderId="47" xfId="0" applyNumberFormat="1" applyFont="1" applyBorder="1" applyAlignment="1">
      <alignment horizontal="right"/>
    </xf>
    <xf numFmtId="184" fontId="1" fillId="0" borderId="47" xfId="0" applyNumberFormat="1" applyFont="1" applyBorder="1" applyAlignment="1">
      <alignment horizontal="right"/>
    </xf>
    <xf numFmtId="0" fontId="1" fillId="0" borderId="46" xfId="134" applyFont="1" applyBorder="1" applyAlignment="1">
      <alignment vertical="center"/>
    </xf>
    <xf numFmtId="188" fontId="1" fillId="0" borderId="42" xfId="0" applyNumberFormat="1" applyFont="1" applyBorder="1" applyAlignment="1">
      <alignment horizontal="right" vertical="center" wrapText="1"/>
    </xf>
    <xf numFmtId="188" fontId="3" fillId="0" borderId="46" xfId="0" applyNumberFormat="1" applyFont="1" applyBorder="1" applyAlignment="1">
      <alignment horizontal="right" vertical="center"/>
    </xf>
    <xf numFmtId="188" fontId="1" fillId="0" borderId="0" xfId="0" applyNumberFormat="1" applyFont="1" applyAlignment="1">
      <alignment horizontal="right" vertical="center"/>
    </xf>
    <xf numFmtId="188" fontId="5" fillId="0" borderId="0" xfId="0" applyNumberFormat="1" applyFont="1" applyAlignment="1">
      <alignment horizontal="right" vertical="center"/>
    </xf>
    <xf numFmtId="188" fontId="1" fillId="0" borderId="46" xfId="0" applyNumberFormat="1" applyFont="1" applyBorder="1" applyAlignment="1">
      <alignment horizontal="right" vertical="center"/>
    </xf>
    <xf numFmtId="188" fontId="3" fillId="0" borderId="44" xfId="0" applyNumberFormat="1" applyFont="1" applyBorder="1" applyAlignment="1">
      <alignment horizontal="right" vertical="center"/>
    </xf>
    <xf numFmtId="188" fontId="3" fillId="0" borderId="0" xfId="0" applyNumberFormat="1" applyFont="1" applyAlignment="1">
      <alignment horizontal="right" vertical="center"/>
    </xf>
    <xf numFmtId="188" fontId="67" fillId="0" borderId="0" xfId="0" applyNumberFormat="1" applyFont="1" applyAlignment="1">
      <alignment horizontal="right" vertical="center"/>
    </xf>
    <xf numFmtId="188" fontId="65" fillId="0" borderId="0" xfId="0" applyNumberFormat="1" applyFont="1" applyAlignment="1">
      <alignment horizontal="right" vertical="center"/>
    </xf>
    <xf numFmtId="188" fontId="1" fillId="0" borderId="0" xfId="129" applyNumberFormat="1" applyFont="1" applyAlignment="1">
      <alignment vertical="center"/>
    </xf>
    <xf numFmtId="188" fontId="1" fillId="0" borderId="46" xfId="129" applyNumberFormat="1" applyFont="1" applyBorder="1" applyAlignment="1">
      <alignment vertical="center"/>
    </xf>
    <xf numFmtId="188" fontId="3" fillId="0" borderId="44" xfId="0" applyNumberFormat="1" applyFont="1" applyBorder="1" applyAlignment="1">
      <alignment vertical="center" wrapText="1"/>
    </xf>
    <xf numFmtId="188" fontId="1" fillId="0" borderId="41" xfId="129" applyNumberFormat="1" applyFont="1" applyBorder="1" applyAlignment="1">
      <alignment vertical="center"/>
    </xf>
    <xf numFmtId="188" fontId="97" fillId="0" borderId="0" xfId="0" applyNumberFormat="1" applyFont="1" applyAlignment="1">
      <alignment horizontal="right" vertical="center" wrapText="1"/>
    </xf>
    <xf numFmtId="188" fontId="97" fillId="0" borderId="35" xfId="0" applyNumberFormat="1" applyFont="1" applyBorder="1" applyAlignment="1">
      <alignment horizontal="right" vertical="center" wrapText="1"/>
    </xf>
    <xf numFmtId="188" fontId="97" fillId="0" borderId="44" xfId="0" applyNumberFormat="1" applyFont="1" applyBorder="1" applyAlignment="1">
      <alignment horizontal="right" vertical="center" wrapText="1"/>
    </xf>
    <xf numFmtId="188" fontId="68" fillId="0" borderId="46" xfId="0" applyNumberFormat="1" applyFont="1" applyBorder="1" applyAlignment="1">
      <alignment horizontal="right" vertical="center"/>
    </xf>
    <xf numFmtId="188" fontId="68" fillId="0" borderId="0" xfId="0" applyNumberFormat="1" applyFont="1" applyAlignment="1">
      <alignment horizontal="right" vertical="center"/>
    </xf>
    <xf numFmtId="188" fontId="1" fillId="0" borderId="48" xfId="0" applyNumberFormat="1" applyFont="1" applyBorder="1" applyAlignment="1">
      <alignment horizontal="right" vertical="center"/>
    </xf>
    <xf numFmtId="188" fontId="68" fillId="0" borderId="44" xfId="0" applyNumberFormat="1" applyFont="1" applyBorder="1" applyAlignment="1">
      <alignment horizontal="right" vertical="center"/>
    </xf>
    <xf numFmtId="188" fontId="1" fillId="0" borderId="41" xfId="0" applyNumberFormat="1" applyFont="1" applyBorder="1" applyAlignment="1">
      <alignment horizontal="right" vertical="center"/>
    </xf>
    <xf numFmtId="188" fontId="1" fillId="0" borderId="35" xfId="0" applyNumberFormat="1" applyFont="1" applyBorder="1" applyAlignment="1">
      <alignment horizontal="right" vertical="center"/>
    </xf>
    <xf numFmtId="188" fontId="1" fillId="0" borderId="42" xfId="0" applyNumberFormat="1" applyFont="1" applyBorder="1" applyAlignment="1">
      <alignment horizontal="right" vertical="center"/>
    </xf>
    <xf numFmtId="188" fontId="68" fillId="0" borderId="58" xfId="0" applyNumberFormat="1" applyFont="1" applyBorder="1" applyAlignment="1">
      <alignment horizontal="right" vertical="center"/>
    </xf>
    <xf numFmtId="188" fontId="68" fillId="0" borderId="35" xfId="0" applyNumberFormat="1" applyFont="1" applyBorder="1" applyAlignment="1">
      <alignment horizontal="right" vertical="center"/>
    </xf>
    <xf numFmtId="188" fontId="1" fillId="0" borderId="0" xfId="131" applyNumberFormat="1" applyFont="1" applyAlignment="1" applyProtection="1">
      <alignment horizontal="right" vertical="center"/>
      <protection locked="0"/>
    </xf>
    <xf numFmtId="188" fontId="68" fillId="0" borderId="46" xfId="131" applyNumberFormat="1" applyFont="1" applyBorder="1" applyAlignment="1" applyProtection="1">
      <alignment horizontal="right" vertical="center"/>
      <protection locked="0"/>
    </xf>
    <xf numFmtId="188" fontId="68" fillId="0" borderId="45" xfId="131" applyNumberFormat="1" applyFont="1" applyBorder="1" applyAlignment="1" applyProtection="1">
      <alignment horizontal="right" vertical="center"/>
      <protection locked="0"/>
    </xf>
    <xf numFmtId="188" fontId="1" fillId="0" borderId="35" xfId="131" applyNumberFormat="1" applyFont="1" applyBorder="1" applyAlignment="1" applyProtection="1">
      <alignment horizontal="right" vertical="center"/>
      <protection locked="0"/>
    </xf>
    <xf numFmtId="188" fontId="68" fillId="0" borderId="44" xfId="131" applyNumberFormat="1" applyFont="1" applyBorder="1" applyAlignment="1" applyProtection="1">
      <alignment horizontal="right" vertical="center"/>
      <protection locked="0"/>
    </xf>
    <xf numFmtId="188" fontId="67" fillId="0" borderId="0" xfId="131" applyNumberFormat="1" applyFont="1" applyAlignment="1" applyProtection="1">
      <alignment horizontal="right" vertical="center"/>
      <protection locked="0"/>
    </xf>
    <xf numFmtId="188" fontId="68" fillId="0" borderId="0" xfId="131" applyNumberFormat="1" applyFont="1" applyAlignment="1" applyProtection="1">
      <alignment horizontal="right" vertical="center"/>
      <protection locked="0"/>
    </xf>
    <xf numFmtId="188" fontId="5" fillId="0" borderId="0" xfId="131" applyNumberFormat="1" applyFont="1" applyAlignment="1" applyProtection="1">
      <alignment horizontal="right" vertical="center"/>
      <protection locked="0"/>
    </xf>
    <xf numFmtId="188" fontId="5" fillId="0" borderId="42" xfId="131" applyNumberFormat="1" applyFont="1" applyBorder="1" applyAlignment="1" applyProtection="1">
      <alignment horizontal="right" vertical="center"/>
      <protection locked="0"/>
    </xf>
    <xf numFmtId="188" fontId="67" fillId="0" borderId="47" xfId="131" applyNumberFormat="1" applyFont="1" applyBorder="1" applyAlignment="1" applyProtection="1">
      <alignment horizontal="right" vertical="center"/>
      <protection locked="0"/>
    </xf>
    <xf numFmtId="188" fontId="66" fillId="0" borderId="0" xfId="131" applyNumberFormat="1" applyFont="1" applyAlignment="1" applyProtection="1">
      <alignment horizontal="right" vertical="center"/>
      <protection locked="0"/>
    </xf>
    <xf numFmtId="188" fontId="65" fillId="0" borderId="0" xfId="131" applyNumberFormat="1" applyFont="1" applyAlignment="1" applyProtection="1">
      <alignment horizontal="right" vertical="center"/>
      <protection locked="0"/>
    </xf>
    <xf numFmtId="188" fontId="68" fillId="0" borderId="44" xfId="0" quotePrefix="1" applyNumberFormat="1" applyFont="1" applyBorder="1" applyAlignment="1" applyProtection="1">
      <alignment vertical="center"/>
      <protection locked="0"/>
    </xf>
    <xf numFmtId="189" fontId="1" fillId="0" borderId="35" xfId="131" applyNumberFormat="1" applyFont="1" applyBorder="1" applyAlignment="1" applyProtection="1">
      <alignment horizontal="right" vertical="center"/>
      <protection locked="0"/>
    </xf>
    <xf numFmtId="188" fontId="3" fillId="0" borderId="44" xfId="0" applyNumberFormat="1" applyFont="1" applyBorder="1" applyAlignment="1">
      <alignment vertical="center"/>
    </xf>
    <xf numFmtId="183" fontId="1" fillId="0" borderId="0" xfId="0" applyNumberFormat="1" applyFont="1" applyAlignment="1">
      <alignment vertical="center"/>
    </xf>
    <xf numFmtId="188" fontId="1" fillId="0" borderId="0" xfId="131" applyNumberFormat="1" applyFont="1" applyAlignment="1" applyProtection="1">
      <alignment vertical="center"/>
      <protection locked="0"/>
    </xf>
    <xf numFmtId="188" fontId="68" fillId="0" borderId="46" xfId="0" quotePrefix="1" applyNumberFormat="1" applyFont="1" applyBorder="1" applyAlignment="1" applyProtection="1">
      <alignment vertical="center"/>
      <protection locked="0"/>
    </xf>
    <xf numFmtId="188" fontId="68" fillId="0" borderId="48" xfId="0" quotePrefix="1" applyNumberFormat="1" applyFont="1" applyBorder="1" applyAlignment="1" applyProtection="1">
      <alignment vertical="center"/>
      <protection locked="0"/>
    </xf>
    <xf numFmtId="188" fontId="68" fillId="0" borderId="0" xfId="0" applyNumberFormat="1" applyFont="1" applyAlignment="1" applyProtection="1">
      <alignment vertical="center"/>
      <protection locked="0"/>
    </xf>
    <xf numFmtId="188" fontId="68" fillId="0" borderId="46" xfId="0" applyNumberFormat="1" applyFont="1" applyBorder="1" applyAlignment="1" applyProtection="1">
      <alignment vertical="center"/>
      <protection locked="0"/>
    </xf>
    <xf numFmtId="188" fontId="1" fillId="0" borderId="0" xfId="0" applyNumberFormat="1" applyFont="1" applyAlignment="1" applyProtection="1">
      <alignment vertical="center"/>
      <protection locked="0"/>
    </xf>
    <xf numFmtId="188" fontId="68" fillId="0" borderId="35" xfId="0" quotePrefix="1" applyNumberFormat="1" applyFont="1" applyBorder="1" applyAlignment="1" applyProtection="1">
      <alignment vertical="center"/>
      <protection locked="0"/>
    </xf>
    <xf numFmtId="188" fontId="97" fillId="0" borderId="42" xfId="0" applyNumberFormat="1" applyFont="1" applyBorder="1" applyAlignment="1">
      <alignment horizontal="right" vertical="center" wrapText="1"/>
    </xf>
    <xf numFmtId="2" fontId="1" fillId="0" borderId="0" xfId="0" applyNumberFormat="1" applyFont="1" applyAlignment="1">
      <alignment horizontal="right"/>
    </xf>
    <xf numFmtId="0" fontId="1" fillId="0" borderId="28" xfId="0" applyFont="1" applyBorder="1" applyAlignment="1">
      <alignment horizontal="center"/>
    </xf>
    <xf numFmtId="2" fontId="1" fillId="0" borderId="29" xfId="0" applyNumberFormat="1" applyFont="1" applyBorder="1" applyAlignment="1">
      <alignment horizontal="right"/>
    </xf>
    <xf numFmtId="2" fontId="1" fillId="34" borderId="47" xfId="0" applyNumberFormat="1" applyFont="1" applyFill="1" applyBorder="1" applyAlignment="1">
      <alignment horizontal="right"/>
    </xf>
    <xf numFmtId="188" fontId="1" fillId="0" borderId="0" xfId="0" applyNumberFormat="1" applyFont="1" applyAlignment="1">
      <alignment horizontal="left"/>
    </xf>
    <xf numFmtId="188" fontId="1" fillId="0" borderId="0" xfId="0" applyNumberFormat="1" applyFont="1" applyAlignment="1">
      <alignment horizontal="right"/>
    </xf>
    <xf numFmtId="2" fontId="1" fillId="34" borderId="0" xfId="0" applyNumberFormat="1" applyFont="1" applyFill="1" applyAlignment="1">
      <alignment horizontal="right"/>
    </xf>
    <xf numFmtId="188" fontId="3" fillId="35" borderId="44" xfId="0" applyNumberFormat="1" applyFont="1" applyFill="1" applyBorder="1" applyAlignment="1">
      <alignment horizontal="right" vertical="center"/>
    </xf>
    <xf numFmtId="188" fontId="1" fillId="35" borderId="0" xfId="129" applyNumberFormat="1" applyFont="1" applyFill="1" applyAlignment="1">
      <alignment vertical="center"/>
    </xf>
    <xf numFmtId="188" fontId="1" fillId="35" borderId="46" xfId="129" applyNumberFormat="1" applyFont="1" applyFill="1" applyBorder="1" applyAlignment="1">
      <alignment vertical="center"/>
    </xf>
    <xf numFmtId="188" fontId="1" fillId="35" borderId="41" xfId="129" applyNumberFormat="1" applyFont="1" applyFill="1" applyBorder="1" applyAlignment="1">
      <alignment vertical="center"/>
    </xf>
    <xf numFmtId="188" fontId="3" fillId="35" borderId="44" xfId="0" applyNumberFormat="1" applyFont="1" applyFill="1" applyBorder="1" applyAlignment="1">
      <alignment vertical="center" wrapText="1"/>
    </xf>
    <xf numFmtId="0" fontId="1" fillId="0" borderId="38" xfId="0" applyFont="1" applyBorder="1" applyAlignment="1">
      <alignment horizontal="left" vertical="center"/>
    </xf>
    <xf numFmtId="0" fontId="1" fillId="0" borderId="42" xfId="0" applyFont="1" applyBorder="1" applyAlignment="1">
      <alignment horizontal="right" vertical="center"/>
    </xf>
    <xf numFmtId="184" fontId="1" fillId="0" borderId="0" xfId="0" applyNumberFormat="1" applyFont="1" applyAlignment="1">
      <alignment horizontal="right" vertical="center"/>
    </xf>
    <xf numFmtId="0" fontId="68" fillId="0" borderId="0" xfId="0" applyFont="1" applyAlignment="1">
      <alignment horizontal="right"/>
    </xf>
    <xf numFmtId="0" fontId="68" fillId="0" borderId="44" xfId="0" applyFont="1" applyBorder="1" applyAlignment="1">
      <alignment horizontal="right" vertical="center"/>
    </xf>
    <xf numFmtId="0" fontId="1" fillId="0" borderId="35" xfId="0" applyFont="1" applyBorder="1" applyAlignment="1">
      <alignment horizontal="right" vertical="center"/>
    </xf>
    <xf numFmtId="184" fontId="1" fillId="0" borderId="0" xfId="0" applyNumberFormat="1" applyFont="1" applyAlignment="1">
      <alignment horizontal="right" vertical="center" wrapText="1"/>
    </xf>
    <xf numFmtId="184" fontId="97" fillId="0" borderId="0" xfId="0" applyNumberFormat="1" applyFont="1" applyAlignment="1">
      <alignment horizontal="right" vertical="center" wrapText="1"/>
    </xf>
    <xf numFmtId="184" fontId="1" fillId="0" borderId="42" xfId="0" applyNumberFormat="1" applyFont="1" applyBorder="1" applyAlignment="1">
      <alignment horizontal="right" vertical="center"/>
    </xf>
    <xf numFmtId="184" fontId="1" fillId="0" borderId="42" xfId="0" applyNumberFormat="1" applyFont="1" applyBorder="1" applyAlignment="1">
      <alignment horizontal="right" vertical="center" wrapText="1"/>
    </xf>
    <xf numFmtId="184" fontId="97" fillId="0" borderId="42" xfId="0" applyNumberFormat="1" applyFont="1" applyBorder="1" applyAlignment="1">
      <alignment horizontal="right" vertical="center" wrapText="1"/>
    </xf>
    <xf numFmtId="3" fontId="98" fillId="0" borderId="19" xfId="0" applyNumberFormat="1" applyFont="1" applyBorder="1" applyAlignment="1">
      <alignment horizontal="center" vertical="center" wrapText="1"/>
    </xf>
    <xf numFmtId="188" fontId="68" fillId="35" borderId="44" xfId="0" applyNumberFormat="1" applyFont="1" applyFill="1" applyBorder="1" applyAlignment="1">
      <alignment horizontal="right" vertical="center"/>
    </xf>
    <xf numFmtId="0" fontId="1" fillId="0" borderId="48" xfId="0" applyFont="1" applyBorder="1" applyAlignment="1">
      <alignment horizontal="left" vertical="center" wrapText="1"/>
    </xf>
    <xf numFmtId="0" fontId="68" fillId="35" borderId="0" xfId="0" applyFont="1" applyFill="1" applyAlignment="1" applyProtection="1">
      <alignment horizontal="left" vertical="center" wrapText="1"/>
      <protection locked="0"/>
    </xf>
    <xf numFmtId="188" fontId="1" fillId="35" borderId="0" xfId="131" applyNumberFormat="1" applyFont="1" applyFill="1" applyAlignment="1" applyProtection="1">
      <alignment horizontal="right" vertical="center"/>
      <protection locked="0"/>
    </xf>
    <xf numFmtId="188" fontId="68" fillId="35" borderId="46" xfId="131" applyNumberFormat="1" applyFont="1" applyFill="1" applyBorder="1" applyAlignment="1" applyProtection="1">
      <alignment horizontal="right" vertical="center"/>
      <protection locked="0"/>
    </xf>
    <xf numFmtId="188" fontId="68" fillId="35" borderId="45" xfId="131" applyNumberFormat="1" applyFont="1" applyFill="1" applyBorder="1" applyAlignment="1" applyProtection="1">
      <alignment horizontal="right" vertical="center"/>
      <protection locked="0"/>
    </xf>
    <xf numFmtId="188" fontId="1" fillId="35" borderId="35" xfId="131" applyNumberFormat="1" applyFont="1" applyFill="1" applyBorder="1" applyAlignment="1" applyProtection="1">
      <alignment horizontal="right" vertical="center"/>
      <protection locked="0"/>
    </xf>
    <xf numFmtId="188" fontId="68" fillId="35" borderId="44" xfId="131" applyNumberFormat="1" applyFont="1" applyFill="1" applyBorder="1" applyAlignment="1" applyProtection="1">
      <alignment horizontal="right" vertical="center"/>
      <protection locked="0"/>
    </xf>
    <xf numFmtId="188" fontId="67" fillId="35" borderId="0" xfId="131" applyNumberFormat="1" applyFont="1" applyFill="1" applyAlignment="1" applyProtection="1">
      <alignment horizontal="right" vertical="center"/>
      <protection locked="0"/>
    </xf>
    <xf numFmtId="188" fontId="68" fillId="35" borderId="0" xfId="131" applyNumberFormat="1" applyFont="1" applyFill="1" applyAlignment="1" applyProtection="1">
      <alignment horizontal="right" vertical="center"/>
      <protection locked="0"/>
    </xf>
    <xf numFmtId="188" fontId="5" fillId="35" borderId="0" xfId="131" applyNumberFormat="1" applyFont="1" applyFill="1" applyAlignment="1" applyProtection="1">
      <alignment horizontal="right" vertical="center"/>
      <protection locked="0"/>
    </xf>
    <xf numFmtId="188" fontId="5" fillId="35" borderId="42" xfId="131" applyNumberFormat="1" applyFont="1" applyFill="1" applyBorder="1" applyAlignment="1" applyProtection="1">
      <alignment horizontal="right" vertical="center"/>
      <protection locked="0"/>
    </xf>
    <xf numFmtId="188" fontId="67" fillId="35" borderId="47" xfId="131" applyNumberFormat="1" applyFont="1" applyFill="1" applyBorder="1" applyAlignment="1" applyProtection="1">
      <alignment horizontal="right" vertical="center"/>
      <protection locked="0"/>
    </xf>
    <xf numFmtId="188" fontId="66" fillId="35" borderId="0" xfId="131" applyNumberFormat="1" applyFont="1" applyFill="1" applyAlignment="1" applyProtection="1">
      <alignment horizontal="right" vertical="center"/>
      <protection locked="0"/>
    </xf>
    <xf numFmtId="188" fontId="65" fillId="35" borderId="0" xfId="131" applyNumberFormat="1" applyFont="1" applyFill="1" applyAlignment="1" applyProtection="1">
      <alignment horizontal="right" vertical="center"/>
      <protection locked="0"/>
    </xf>
    <xf numFmtId="189" fontId="1" fillId="35" borderId="35" xfId="131" applyNumberFormat="1" applyFont="1" applyFill="1" applyBorder="1" applyAlignment="1" applyProtection="1">
      <alignment horizontal="right" vertical="center"/>
      <protection locked="0"/>
    </xf>
    <xf numFmtId="0" fontId="68" fillId="35" borderId="0" xfId="0" applyFont="1" applyFill="1" applyAlignment="1" applyProtection="1">
      <alignment horizontal="center" vertical="center" wrapText="1"/>
      <protection locked="0"/>
    </xf>
    <xf numFmtId="188" fontId="1" fillId="35" borderId="0" xfId="131" applyNumberFormat="1" applyFont="1" applyFill="1" applyAlignment="1" applyProtection="1">
      <alignment vertical="center"/>
      <protection locked="0"/>
    </xf>
    <xf numFmtId="188" fontId="68" fillId="35" borderId="46" xfId="0" quotePrefix="1" applyNumberFormat="1" applyFont="1" applyFill="1" applyBorder="1" applyAlignment="1" applyProtection="1">
      <alignment vertical="center"/>
      <protection locked="0"/>
    </xf>
    <xf numFmtId="188" fontId="68" fillId="35" borderId="48" xfId="0" quotePrefix="1" applyNumberFormat="1" applyFont="1" applyFill="1" applyBorder="1" applyAlignment="1" applyProtection="1">
      <alignment vertical="center"/>
      <protection locked="0"/>
    </xf>
    <xf numFmtId="188" fontId="68" fillId="35" borderId="44" xfId="0" quotePrefix="1" applyNumberFormat="1" applyFont="1" applyFill="1" applyBorder="1" applyAlignment="1" applyProtection="1">
      <alignment vertical="center"/>
      <protection locked="0"/>
    </xf>
    <xf numFmtId="188" fontId="68" fillId="35" borderId="0" xfId="0" applyNumberFormat="1" applyFont="1" applyFill="1" applyAlignment="1" applyProtection="1">
      <alignment vertical="center"/>
      <protection locked="0"/>
    </xf>
    <xf numFmtId="188" fontId="68" fillId="35" borderId="46" xfId="0" applyNumberFormat="1" applyFont="1" applyFill="1" applyBorder="1" applyAlignment="1" applyProtection="1">
      <alignment vertical="center"/>
      <protection locked="0"/>
    </xf>
    <xf numFmtId="188" fontId="1" fillId="35" borderId="0" xfId="0" applyNumberFormat="1" applyFont="1" applyFill="1" applyAlignment="1" applyProtection="1">
      <alignment vertical="center"/>
      <protection locked="0"/>
    </xf>
    <xf numFmtId="188" fontId="68" fillId="35" borderId="35" xfId="0" quotePrefix="1" applyNumberFormat="1" applyFont="1" applyFill="1" applyBorder="1" applyAlignment="1" applyProtection="1">
      <alignment vertical="center"/>
      <protection locked="0"/>
    </xf>
    <xf numFmtId="0" fontId="3" fillId="35" borderId="0" xfId="0" applyFont="1" applyFill="1" applyAlignment="1">
      <alignment horizontal="right" vertical="center" wrapText="1"/>
    </xf>
    <xf numFmtId="188" fontId="3" fillId="35" borderId="46" xfId="0" applyNumberFormat="1" applyFont="1" applyFill="1" applyBorder="1" applyAlignment="1">
      <alignment horizontal="right" vertical="center"/>
    </xf>
    <xf numFmtId="188" fontId="1" fillId="35" borderId="0" xfId="0" applyNumberFormat="1" applyFont="1" applyFill="1" applyAlignment="1">
      <alignment horizontal="right" vertical="center"/>
    </xf>
    <xf numFmtId="188" fontId="1" fillId="35" borderId="46" xfId="0" applyNumberFormat="1" applyFont="1" applyFill="1" applyBorder="1" applyAlignment="1">
      <alignment horizontal="right" vertical="center"/>
    </xf>
    <xf numFmtId="188" fontId="5" fillId="35" borderId="0" xfId="0" applyNumberFormat="1" applyFont="1" applyFill="1" applyAlignment="1">
      <alignment horizontal="right" vertical="center"/>
    </xf>
    <xf numFmtId="188" fontId="3" fillId="35" borderId="0" xfId="0" applyNumberFormat="1" applyFont="1" applyFill="1" applyAlignment="1">
      <alignment horizontal="right" vertical="center"/>
    </xf>
    <xf numFmtId="188" fontId="67" fillId="35" borderId="0" xfId="0" applyNumberFormat="1" applyFont="1" applyFill="1" applyAlignment="1">
      <alignment horizontal="right" vertical="center"/>
    </xf>
    <xf numFmtId="188" fontId="65" fillId="35" borderId="0" xfId="0" applyNumberFormat="1" applyFont="1" applyFill="1" applyAlignment="1">
      <alignment horizontal="right" vertical="center"/>
    </xf>
    <xf numFmtId="188" fontId="68" fillId="35" borderId="0" xfId="0" applyNumberFormat="1" applyFont="1" applyFill="1" applyAlignment="1">
      <alignment horizontal="right" vertical="center"/>
    </xf>
    <xf numFmtId="188" fontId="1" fillId="35" borderId="48" xfId="0" applyNumberFormat="1" applyFont="1" applyFill="1" applyBorder="1" applyAlignment="1">
      <alignment horizontal="right" vertical="center"/>
    </xf>
    <xf numFmtId="188" fontId="68" fillId="35" borderId="46" xfId="0" applyNumberFormat="1" applyFont="1" applyFill="1" applyBorder="1" applyAlignment="1">
      <alignment horizontal="right" vertical="center"/>
    </xf>
    <xf numFmtId="188" fontId="1" fillId="35" borderId="35" xfId="0" applyNumberFormat="1" applyFont="1" applyFill="1" applyBorder="1" applyAlignment="1">
      <alignment horizontal="right" vertical="center"/>
    </xf>
    <xf numFmtId="188" fontId="1" fillId="35" borderId="42" xfId="0" applyNumberFormat="1" applyFont="1" applyFill="1" applyBorder="1" applyAlignment="1">
      <alignment horizontal="right" vertical="center"/>
    </xf>
    <xf numFmtId="188" fontId="68" fillId="35" borderId="35" xfId="0" applyNumberFormat="1" applyFont="1" applyFill="1" applyBorder="1" applyAlignment="1">
      <alignment horizontal="right" vertical="center"/>
    </xf>
    <xf numFmtId="188" fontId="1" fillId="35" borderId="41" xfId="0" applyNumberFormat="1" applyFont="1" applyFill="1" applyBorder="1" applyAlignment="1">
      <alignment horizontal="right" vertical="center"/>
    </xf>
    <xf numFmtId="188" fontId="68" fillId="35" borderId="58" xfId="0" applyNumberFormat="1" applyFont="1" applyFill="1" applyBorder="1" applyAlignment="1">
      <alignment horizontal="right" vertical="center"/>
    </xf>
    <xf numFmtId="183" fontId="0" fillId="0" borderId="0" xfId="0" applyNumberFormat="1"/>
    <xf numFmtId="2" fontId="1" fillId="35" borderId="0" xfId="0" applyNumberFormat="1" applyFont="1" applyFill="1"/>
    <xf numFmtId="2" fontId="1" fillId="35" borderId="35" xfId="0" applyNumberFormat="1" applyFont="1" applyFill="1" applyBorder="1" applyAlignment="1">
      <alignment horizontal="right"/>
    </xf>
    <xf numFmtId="2" fontId="1" fillId="35" borderId="0" xfId="0" applyNumberFormat="1" applyFont="1" applyFill="1" applyAlignment="1">
      <alignment horizontal="right"/>
    </xf>
    <xf numFmtId="0" fontId="1" fillId="35" borderId="0" xfId="0" applyFont="1" applyFill="1" applyAlignment="1">
      <alignment horizontal="right"/>
    </xf>
    <xf numFmtId="183" fontId="1" fillId="35" borderId="35" xfId="0" applyNumberFormat="1" applyFont="1" applyFill="1" applyBorder="1" applyAlignment="1">
      <alignment horizontal="right"/>
    </xf>
    <xf numFmtId="2" fontId="1" fillId="35" borderId="47" xfId="0" applyNumberFormat="1" applyFont="1" applyFill="1" applyBorder="1" applyAlignment="1">
      <alignment horizontal="right"/>
    </xf>
    <xf numFmtId="2" fontId="1" fillId="34" borderId="35" xfId="0" applyNumberFormat="1" applyFont="1" applyFill="1" applyBorder="1" applyAlignment="1">
      <alignment horizontal="right"/>
    </xf>
    <xf numFmtId="184" fontId="1" fillId="35" borderId="47" xfId="0" applyNumberFormat="1" applyFont="1" applyFill="1" applyBorder="1" applyAlignment="1">
      <alignment horizontal="right"/>
    </xf>
    <xf numFmtId="184" fontId="1" fillId="35" borderId="42" xfId="0" applyNumberFormat="1" applyFont="1" applyFill="1" applyBorder="1" applyAlignment="1">
      <alignment horizontal="right" vertical="center"/>
    </xf>
    <xf numFmtId="0" fontId="1" fillId="35" borderId="0" xfId="0" applyFont="1" applyFill="1" applyAlignment="1">
      <alignment horizontal="right" vertical="center"/>
    </xf>
    <xf numFmtId="0" fontId="1" fillId="35" borderId="42" xfId="0" applyFont="1" applyFill="1" applyBorder="1" applyAlignment="1">
      <alignment horizontal="right" vertical="center"/>
    </xf>
    <xf numFmtId="184" fontId="1" fillId="35" borderId="0" xfId="0" applyNumberFormat="1" applyFont="1" applyFill="1" applyAlignment="1">
      <alignment horizontal="right" vertical="center"/>
    </xf>
    <xf numFmtId="0" fontId="68" fillId="35" borderId="0" xfId="0" applyFont="1" applyFill="1" applyAlignment="1">
      <alignment horizontal="right"/>
    </xf>
    <xf numFmtId="0" fontId="68" fillId="35" borderId="44" xfId="0" applyFont="1" applyFill="1" applyBorder="1" applyAlignment="1">
      <alignment horizontal="right" vertical="center"/>
    </xf>
    <xf numFmtId="0" fontId="1" fillId="35" borderId="35" xfId="0" applyFont="1" applyFill="1" applyBorder="1" applyAlignment="1">
      <alignment horizontal="right" vertical="center"/>
    </xf>
    <xf numFmtId="184" fontId="1" fillId="35" borderId="42" xfId="0" applyNumberFormat="1" applyFont="1" applyFill="1" applyBorder="1" applyAlignment="1">
      <alignment horizontal="right" vertical="center" wrapText="1"/>
    </xf>
    <xf numFmtId="188" fontId="97" fillId="35" borderId="0" xfId="0" applyNumberFormat="1" applyFont="1" applyFill="1" applyAlignment="1">
      <alignment horizontal="right" vertical="center" wrapText="1"/>
    </xf>
    <xf numFmtId="188" fontId="1" fillId="35" borderId="42" xfId="0" applyNumberFormat="1" applyFont="1" applyFill="1" applyBorder="1" applyAlignment="1">
      <alignment horizontal="right" vertical="center" wrapText="1"/>
    </xf>
    <xf numFmtId="184" fontId="1" fillId="35" borderId="0" xfId="0" applyNumberFormat="1" applyFont="1" applyFill="1" applyAlignment="1">
      <alignment horizontal="right" vertical="center" wrapText="1"/>
    </xf>
    <xf numFmtId="184" fontId="97" fillId="35" borderId="0" xfId="0" applyNumberFormat="1" applyFont="1" applyFill="1" applyAlignment="1">
      <alignment horizontal="right" vertical="center" wrapText="1"/>
    </xf>
    <xf numFmtId="188" fontId="97" fillId="35" borderId="35" xfId="0" applyNumberFormat="1" applyFont="1" applyFill="1" applyBorder="1" applyAlignment="1">
      <alignment horizontal="right" vertical="center" wrapText="1"/>
    </xf>
    <xf numFmtId="188" fontId="97" fillId="35" borderId="44" xfId="0" applyNumberFormat="1" applyFont="1" applyFill="1" applyBorder="1" applyAlignment="1">
      <alignment horizontal="right" vertical="center" wrapText="1"/>
    </xf>
    <xf numFmtId="184" fontId="97" fillId="35" borderId="42" xfId="0" applyNumberFormat="1" applyFont="1" applyFill="1" applyBorder="1" applyAlignment="1">
      <alignment horizontal="right" vertical="center" wrapText="1"/>
    </xf>
    <xf numFmtId="188" fontId="97" fillId="35" borderId="42" xfId="0" applyNumberFormat="1" applyFont="1" applyFill="1" applyBorder="1" applyAlignment="1">
      <alignment horizontal="right" vertical="center" wrapText="1"/>
    </xf>
    <xf numFmtId="0" fontId="69" fillId="0" borderId="0" xfId="126"/>
    <xf numFmtId="190" fontId="69" fillId="0" borderId="0" xfId="126" applyNumberFormat="1"/>
    <xf numFmtId="0" fontId="70" fillId="32" borderId="30" xfId="132" applyFont="1" applyFill="1" applyBorder="1" applyAlignment="1">
      <alignment horizontal="center" vertical="center" wrapText="1"/>
    </xf>
    <xf numFmtId="0" fontId="70" fillId="32" borderId="31" xfId="132" applyFont="1" applyFill="1" applyBorder="1" applyAlignment="1">
      <alignment horizontal="center" vertical="center" wrapText="1"/>
    </xf>
    <xf numFmtId="3" fontId="1" fillId="36" borderId="18" xfId="132" applyNumberFormat="1" applyFont="1" applyFill="1" applyBorder="1" applyAlignment="1">
      <alignment horizontal="center" vertical="center" wrapText="1"/>
    </xf>
    <xf numFmtId="2" fontId="4" fillId="36" borderId="21" xfId="133" applyNumberFormat="1" applyFont="1" applyFill="1" applyBorder="1" applyAlignment="1">
      <alignment horizontal="left" vertical="center" wrapText="1"/>
    </xf>
    <xf numFmtId="190" fontId="4" fillId="36" borderId="21" xfId="133" applyNumberFormat="1" applyFont="1" applyFill="1" applyBorder="1" applyAlignment="1">
      <alignment horizontal="right" vertical="center" wrapText="1"/>
    </xf>
    <xf numFmtId="190" fontId="4" fillId="36" borderId="21" xfId="133" applyNumberFormat="1" applyFont="1" applyFill="1" applyBorder="1" applyAlignment="1">
      <alignment vertical="center" wrapText="1"/>
    </xf>
    <xf numFmtId="190" fontId="4" fillId="36" borderId="59" xfId="133" applyNumberFormat="1" applyFont="1" applyFill="1" applyBorder="1" applyAlignment="1">
      <alignment vertical="center" wrapText="1"/>
    </xf>
    <xf numFmtId="184" fontId="4" fillId="36" borderId="26" xfId="133" applyNumberFormat="1" applyFont="1" applyFill="1" applyBorder="1" applyAlignment="1">
      <alignment horizontal="left" vertical="center" wrapText="1"/>
    </xf>
    <xf numFmtId="190" fontId="4" fillId="36" borderId="26" xfId="133" applyNumberFormat="1" applyFont="1" applyFill="1" applyBorder="1" applyAlignment="1">
      <alignment horizontal="right" vertical="center" wrapText="1"/>
    </xf>
    <xf numFmtId="190" fontId="4" fillId="36" borderId="26" xfId="133" applyNumberFormat="1" applyFont="1" applyFill="1" applyBorder="1" applyAlignment="1">
      <alignment vertical="center" wrapText="1"/>
    </xf>
    <xf numFmtId="190" fontId="4" fillId="36" borderId="47" xfId="133" applyNumberFormat="1" applyFont="1" applyFill="1" applyBorder="1" applyAlignment="1">
      <alignment vertical="center" wrapText="1"/>
    </xf>
    <xf numFmtId="2" fontId="64" fillId="36" borderId="60" xfId="133" applyNumberFormat="1" applyFill="1" applyBorder="1" applyAlignment="1">
      <alignment horizontal="left" vertical="center" wrapText="1" indent="1"/>
    </xf>
    <xf numFmtId="190" fontId="64" fillId="36" borderId="60" xfId="133" applyNumberFormat="1" applyFill="1" applyBorder="1" applyAlignment="1">
      <alignment vertical="center" wrapText="1"/>
    </xf>
    <xf numFmtId="190" fontId="64" fillId="36" borderId="60" xfId="133" applyNumberFormat="1" applyFill="1" applyBorder="1" applyAlignment="1">
      <alignment horizontal="right" vertical="center" wrapText="1"/>
    </xf>
    <xf numFmtId="190" fontId="64" fillId="36" borderId="61" xfId="133" applyNumberFormat="1" applyFill="1" applyBorder="1" applyAlignment="1">
      <alignment vertical="center" wrapText="1"/>
    </xf>
    <xf numFmtId="2" fontId="64" fillId="36" borderId="0" xfId="133" applyNumberFormat="1" applyFill="1" applyAlignment="1">
      <alignment horizontal="left" vertical="center" wrapText="1" indent="1"/>
    </xf>
    <xf numFmtId="190" fontId="64" fillId="36" borderId="0" xfId="133" applyNumberFormat="1" applyFill="1" applyAlignment="1">
      <alignment vertical="center" wrapText="1"/>
    </xf>
    <xf numFmtId="190" fontId="64" fillId="36" borderId="0" xfId="133" applyNumberFormat="1" applyFill="1" applyAlignment="1">
      <alignment horizontal="right" vertical="center" wrapText="1"/>
    </xf>
    <xf numFmtId="190" fontId="64" fillId="36" borderId="35" xfId="133" applyNumberFormat="1" applyFill="1" applyBorder="1" applyAlignment="1">
      <alignment vertical="center" wrapText="1"/>
    </xf>
    <xf numFmtId="190" fontId="64" fillId="36" borderId="18" xfId="133" applyNumberFormat="1" applyFill="1" applyBorder="1" applyAlignment="1">
      <alignment vertical="center" wrapText="1"/>
    </xf>
    <xf numFmtId="184" fontId="4" fillId="36" borderId="21" xfId="133" applyNumberFormat="1" applyFont="1" applyFill="1" applyBorder="1" applyAlignment="1">
      <alignment horizontal="left" vertical="center" wrapText="1"/>
    </xf>
    <xf numFmtId="190" fontId="4" fillId="36" borderId="44" xfId="133" applyNumberFormat="1" applyFont="1" applyFill="1" applyBorder="1" applyAlignment="1">
      <alignment vertical="center" wrapText="1"/>
    </xf>
    <xf numFmtId="190" fontId="4" fillId="36" borderId="25" xfId="133" applyNumberFormat="1" applyFont="1" applyFill="1" applyBorder="1" applyAlignment="1">
      <alignment vertical="center" wrapText="1"/>
    </xf>
    <xf numFmtId="2" fontId="4" fillId="36" borderId="62" xfId="133" applyNumberFormat="1" applyFont="1" applyFill="1" applyBorder="1" applyAlignment="1">
      <alignment horizontal="left" vertical="center" wrapText="1"/>
    </xf>
    <xf numFmtId="190" fontId="4" fillId="36" borderId="62" xfId="133" applyNumberFormat="1" applyFont="1" applyFill="1" applyBorder="1" applyAlignment="1">
      <alignment horizontal="right" vertical="center" wrapText="1"/>
    </xf>
    <xf numFmtId="190" fontId="4" fillId="36" borderId="62" xfId="133" applyNumberFormat="1" applyFont="1" applyFill="1" applyBorder="1" applyAlignment="1">
      <alignment vertical="center" wrapText="1"/>
    </xf>
    <xf numFmtId="190" fontId="4" fillId="36" borderId="63" xfId="133" applyNumberFormat="1" applyFont="1" applyFill="1" applyBorder="1" applyAlignment="1">
      <alignment vertical="center" wrapText="1"/>
    </xf>
    <xf numFmtId="2" fontId="4" fillId="36" borderId="26" xfId="133" applyNumberFormat="1" applyFont="1" applyFill="1" applyBorder="1" applyAlignment="1">
      <alignment horizontal="left" vertical="center" wrapText="1"/>
    </xf>
    <xf numFmtId="2" fontId="64" fillId="36" borderId="18" xfId="133" applyNumberFormat="1" applyFill="1" applyBorder="1" applyAlignment="1">
      <alignment horizontal="left" vertical="center" wrapText="1"/>
    </xf>
    <xf numFmtId="190" fontId="64" fillId="36" borderId="18" xfId="133" applyNumberFormat="1" applyFill="1" applyBorder="1" applyAlignment="1">
      <alignment horizontal="right" vertical="center" wrapText="1"/>
    </xf>
    <xf numFmtId="2" fontId="4" fillId="36" borderId="0" xfId="133" applyNumberFormat="1" applyFont="1" applyFill="1" applyAlignment="1">
      <alignment horizontal="left" vertical="center" wrapText="1"/>
    </xf>
    <xf numFmtId="190" fontId="4" fillId="36" borderId="0" xfId="133" applyNumberFormat="1" applyFont="1" applyFill="1" applyAlignment="1">
      <alignment horizontal="right" vertical="center" wrapText="1"/>
    </xf>
    <xf numFmtId="190" fontId="4" fillId="36" borderId="0" xfId="133" applyNumberFormat="1" applyFont="1" applyFill="1" applyAlignment="1">
      <alignment vertical="center" wrapText="1"/>
    </xf>
    <xf numFmtId="2" fontId="4" fillId="36" borderId="18" xfId="133" applyNumberFormat="1" applyFont="1" applyFill="1" applyBorder="1" applyAlignment="1">
      <alignment horizontal="left" vertical="center" wrapText="1"/>
    </xf>
    <xf numFmtId="190" fontId="4" fillId="36" borderId="18" xfId="133" applyNumberFormat="1" applyFont="1" applyFill="1" applyBorder="1" applyAlignment="1">
      <alignment horizontal="right" vertical="center" wrapText="1"/>
    </xf>
    <xf numFmtId="190" fontId="4" fillId="36" borderId="18" xfId="133" applyNumberFormat="1" applyFont="1" applyFill="1" applyBorder="1" applyAlignment="1">
      <alignment vertical="center" wrapText="1"/>
    </xf>
    <xf numFmtId="190" fontId="4" fillId="36" borderId="35" xfId="133" applyNumberFormat="1" applyFont="1" applyFill="1" applyBorder="1" applyAlignment="1">
      <alignment vertical="center" wrapText="1"/>
    </xf>
    <xf numFmtId="191" fontId="4" fillId="36" borderId="26" xfId="133" applyNumberFormat="1" applyFont="1" applyFill="1" applyBorder="1" applyAlignment="1">
      <alignment horizontal="right" vertical="center" wrapText="1"/>
    </xf>
    <xf numFmtId="2" fontId="4" fillId="36" borderId="22" xfId="133" applyNumberFormat="1" applyFont="1" applyFill="1" applyBorder="1" applyAlignment="1">
      <alignment horizontal="left" vertical="center" wrapText="1"/>
    </xf>
    <xf numFmtId="191" fontId="4" fillId="36" borderId="22" xfId="133" applyNumberFormat="1" applyFont="1" applyFill="1" applyBorder="1" applyAlignment="1">
      <alignment horizontal="right" vertical="center" wrapText="1"/>
    </xf>
    <xf numFmtId="2" fontId="4" fillId="36" borderId="27" xfId="133" applyNumberFormat="1" applyFont="1" applyFill="1" applyBorder="1" applyAlignment="1">
      <alignment horizontal="left" vertical="center" wrapText="1"/>
    </xf>
    <xf numFmtId="191" fontId="4" fillId="36" borderId="27" xfId="133" applyNumberFormat="1" applyFont="1" applyFill="1" applyBorder="1" applyAlignment="1">
      <alignment horizontal="right" vertical="center" wrapText="1"/>
    </xf>
    <xf numFmtId="2" fontId="4" fillId="36" borderId="32" xfId="133" applyNumberFormat="1" applyFont="1" applyFill="1" applyBorder="1" applyAlignment="1">
      <alignment horizontal="left" vertical="center" wrapText="1"/>
    </xf>
    <xf numFmtId="193" fontId="4" fillId="36" borderId="32" xfId="133" applyNumberFormat="1" applyFont="1" applyFill="1" applyBorder="1" applyAlignment="1">
      <alignment horizontal="right" vertical="center" wrapText="1"/>
    </xf>
    <xf numFmtId="190" fontId="4" fillId="2" borderId="22" xfId="133" applyNumberFormat="1" applyFont="1" applyFill="1" applyBorder="1" applyAlignment="1">
      <alignment vertical="center" wrapText="1"/>
    </xf>
    <xf numFmtId="190" fontId="4" fillId="2" borderId="22" xfId="133" applyNumberFormat="1" applyFont="1" applyFill="1" applyBorder="1" applyAlignment="1">
      <alignment horizontal="right" vertical="center" wrapText="1"/>
    </xf>
    <xf numFmtId="171" fontId="4" fillId="36" borderId="22" xfId="133" applyNumberFormat="1" applyFont="1" applyFill="1" applyBorder="1" applyAlignment="1">
      <alignment horizontal="right" vertical="center" wrapText="1"/>
    </xf>
    <xf numFmtId="171" fontId="64" fillId="36" borderId="0" xfId="133" applyNumberFormat="1" applyFill="1" applyAlignment="1">
      <alignment vertical="center" wrapText="1"/>
    </xf>
    <xf numFmtId="171" fontId="64" fillId="36" borderId="0" xfId="133" applyNumberFormat="1" applyFill="1" applyAlignment="1">
      <alignment horizontal="right" vertical="center" wrapText="1"/>
    </xf>
    <xf numFmtId="2" fontId="64" fillId="2" borderId="18" xfId="133" applyNumberFormat="1" applyFill="1" applyBorder="1" applyAlignment="1">
      <alignment horizontal="left" vertical="center" wrapText="1" indent="1"/>
    </xf>
    <xf numFmtId="171" fontId="64" fillId="36" borderId="18" xfId="133" applyNumberFormat="1" applyFill="1" applyBorder="1" applyAlignment="1">
      <alignment horizontal="right" vertical="center" wrapText="1"/>
    </xf>
    <xf numFmtId="190" fontId="4" fillId="35" borderId="21" xfId="133" applyNumberFormat="1" applyFont="1" applyFill="1" applyBorder="1" applyAlignment="1">
      <alignment vertical="center" wrapText="1"/>
    </xf>
    <xf numFmtId="190" fontId="4" fillId="35" borderId="26" xfId="133" applyNumberFormat="1" applyFont="1" applyFill="1" applyBorder="1" applyAlignment="1">
      <alignment vertical="center" wrapText="1"/>
    </xf>
    <xf numFmtId="190" fontId="64" fillId="35" borderId="60" xfId="133" applyNumberFormat="1" applyFill="1" applyBorder="1" applyAlignment="1">
      <alignment vertical="center" wrapText="1"/>
    </xf>
    <xf numFmtId="190" fontId="64" fillId="35" borderId="0" xfId="133" applyNumberFormat="1" applyFill="1" applyAlignment="1">
      <alignment vertical="center" wrapText="1"/>
    </xf>
    <xf numFmtId="190" fontId="4" fillId="35" borderId="62" xfId="133" applyNumberFormat="1" applyFont="1" applyFill="1" applyBorder="1" applyAlignment="1">
      <alignment vertical="center" wrapText="1"/>
    </xf>
    <xf numFmtId="190" fontId="64" fillId="35" borderId="18" xfId="133" applyNumberFormat="1" applyFill="1" applyBorder="1" applyAlignment="1">
      <alignment vertical="center" wrapText="1"/>
    </xf>
    <xf numFmtId="190" fontId="4" fillId="35" borderId="0" xfId="133" applyNumberFormat="1" applyFont="1" applyFill="1" applyAlignment="1">
      <alignment vertical="center" wrapText="1"/>
    </xf>
    <xf numFmtId="190" fontId="4" fillId="35" borderId="18" xfId="133" applyNumberFormat="1" applyFont="1" applyFill="1" applyBorder="1" applyAlignment="1">
      <alignment vertical="center" wrapText="1"/>
    </xf>
    <xf numFmtId="191" fontId="4" fillId="35" borderId="26" xfId="133" applyNumberFormat="1" applyFont="1" applyFill="1" applyBorder="1" applyAlignment="1">
      <alignment horizontal="right" vertical="center" wrapText="1"/>
    </xf>
    <xf numFmtId="191" fontId="4" fillId="35" borderId="22" xfId="133" applyNumberFormat="1" applyFont="1" applyFill="1" applyBorder="1" applyAlignment="1">
      <alignment horizontal="right" vertical="center" wrapText="1"/>
    </xf>
    <xf numFmtId="191" fontId="4" fillId="35" borderId="27" xfId="133" applyNumberFormat="1" applyFont="1" applyFill="1" applyBorder="1" applyAlignment="1">
      <alignment horizontal="right" vertical="center" wrapText="1"/>
    </xf>
    <xf numFmtId="192" fontId="4" fillId="35" borderId="0" xfId="133" applyNumberFormat="1" applyFont="1" applyFill="1" applyAlignment="1">
      <alignment horizontal="right" vertical="center" wrapText="1"/>
    </xf>
    <xf numFmtId="192" fontId="4" fillId="35" borderId="22" xfId="133" applyNumberFormat="1" applyFont="1" applyFill="1" applyBorder="1" applyAlignment="1">
      <alignment horizontal="right" vertical="center" wrapText="1"/>
    </xf>
    <xf numFmtId="192" fontId="4" fillId="35" borderId="32" xfId="133" applyNumberFormat="1" applyFont="1" applyFill="1" applyBorder="1" applyAlignment="1">
      <alignment horizontal="right" vertical="center" wrapText="1"/>
    </xf>
    <xf numFmtId="190" fontId="4" fillId="35" borderId="22" xfId="133" applyNumberFormat="1" applyFont="1" applyFill="1" applyBorder="1" applyAlignment="1">
      <alignment horizontal="right" vertical="center" wrapText="1"/>
    </xf>
    <xf numFmtId="190" fontId="64" fillId="35" borderId="0" xfId="133" applyNumberFormat="1" applyFill="1" applyAlignment="1">
      <alignment horizontal="right" vertical="center" wrapText="1"/>
    </xf>
    <xf numFmtId="190" fontId="64" fillId="35" borderId="18" xfId="133" applyNumberFormat="1" applyFill="1" applyBorder="1" applyAlignment="1">
      <alignment horizontal="right" vertical="center" wrapText="1"/>
    </xf>
    <xf numFmtId="0" fontId="9" fillId="33" borderId="19" xfId="127" applyFont="1" applyFill="1" applyBorder="1" applyAlignment="1">
      <alignment horizontal="center" vertical="center" wrapText="1"/>
    </xf>
    <xf numFmtId="0" fontId="95" fillId="0" borderId="0" xfId="127"/>
    <xf numFmtId="3" fontId="11" fillId="36" borderId="0" xfId="127" applyNumberFormat="1" applyFont="1" applyFill="1" applyAlignment="1">
      <alignment horizontal="center" vertical="center" wrapText="1"/>
    </xf>
    <xf numFmtId="0" fontId="68" fillId="36" borderId="25" xfId="127" applyFont="1" applyFill="1" applyBorder="1" applyAlignment="1">
      <alignment vertical="center" wrapText="1"/>
    </xf>
    <xf numFmtId="3" fontId="68" fillId="36" borderId="25" xfId="127" applyNumberFormat="1" applyFont="1" applyFill="1" applyBorder="1" applyAlignment="1">
      <alignment horizontal="center" vertical="center" wrapText="1"/>
    </xf>
    <xf numFmtId="3" fontId="1" fillId="36" borderId="25" xfId="127" applyNumberFormat="1" applyFont="1" applyFill="1" applyBorder="1" applyAlignment="1">
      <alignment horizontal="center" vertical="center" wrapText="1"/>
    </xf>
    <xf numFmtId="0" fontId="1" fillId="36" borderId="0" xfId="127" applyFont="1" applyFill="1" applyAlignment="1">
      <alignment vertical="center"/>
    </xf>
    <xf numFmtId="3" fontId="1" fillId="36" borderId="0" xfId="127" applyNumberFormat="1" applyFont="1" applyFill="1" applyAlignment="1">
      <alignment vertical="center"/>
    </xf>
    <xf numFmtId="0" fontId="68" fillId="36" borderId="25" xfId="134" applyFont="1" applyFill="1" applyBorder="1" applyAlignment="1">
      <alignment vertical="center"/>
    </xf>
    <xf numFmtId="3" fontId="68" fillId="36" borderId="25" xfId="134" applyNumberFormat="1" applyFont="1" applyFill="1" applyBorder="1" applyAlignment="1">
      <alignment vertical="center"/>
    </xf>
    <xf numFmtId="3" fontId="68" fillId="36" borderId="25" xfId="134" applyNumberFormat="1" applyFont="1" applyFill="1" applyBorder="1" applyAlignment="1">
      <alignment horizontal="right" vertical="center"/>
    </xf>
    <xf numFmtId="3" fontId="68" fillId="36" borderId="25" xfId="127" applyNumberFormat="1" applyFont="1" applyFill="1" applyBorder="1" applyAlignment="1">
      <alignment horizontal="right" vertical="center" wrapText="1"/>
    </xf>
    <xf numFmtId="0" fontId="68" fillId="36" borderId="0" xfId="134" applyFont="1" applyFill="1" applyAlignment="1">
      <alignment vertical="center" wrapText="1"/>
    </xf>
    <xf numFmtId="3" fontId="1" fillId="36" borderId="0" xfId="134" applyNumberFormat="1" applyFont="1" applyFill="1" applyAlignment="1">
      <alignment vertical="center" wrapText="1"/>
    </xf>
    <xf numFmtId="3" fontId="1" fillId="36" borderId="0" xfId="134" applyNumberFormat="1" applyFont="1" applyFill="1" applyAlignment="1">
      <alignment horizontal="right" vertical="center" wrapText="1"/>
    </xf>
    <xf numFmtId="3" fontId="1" fillId="36" borderId="0" xfId="127" applyNumberFormat="1" applyFont="1" applyFill="1" applyAlignment="1">
      <alignment vertical="center" wrapText="1"/>
    </xf>
    <xf numFmtId="3" fontId="1" fillId="36" borderId="0" xfId="127" applyNumberFormat="1" applyFont="1" applyFill="1" applyAlignment="1">
      <alignment horizontal="right" vertical="center" wrapText="1"/>
    </xf>
    <xf numFmtId="0" fontId="68" fillId="36" borderId="46" xfId="134" applyFont="1" applyFill="1" applyBorder="1" applyAlignment="1">
      <alignment vertical="center" wrapText="1"/>
    </xf>
    <xf numFmtId="3" fontId="1" fillId="36" borderId="46" xfId="134" applyNumberFormat="1" applyFont="1" applyFill="1" applyBorder="1" applyAlignment="1">
      <alignment vertical="center" wrapText="1"/>
    </xf>
    <xf numFmtId="3" fontId="1" fillId="36" borderId="46" xfId="134" applyNumberFormat="1" applyFont="1" applyFill="1" applyBorder="1" applyAlignment="1">
      <alignment horizontal="right" vertical="center" wrapText="1"/>
    </xf>
    <xf numFmtId="3" fontId="1" fillId="36" borderId="46" xfId="127" applyNumberFormat="1" applyFont="1" applyFill="1" applyBorder="1" applyAlignment="1">
      <alignment vertical="center" wrapText="1"/>
    </xf>
    <xf numFmtId="3" fontId="1" fillId="36" borderId="46" xfId="127" applyNumberFormat="1" applyFont="1" applyFill="1" applyBorder="1" applyAlignment="1">
      <alignment horizontal="right" vertical="center" wrapText="1"/>
    </xf>
    <xf numFmtId="3" fontId="68" fillId="36" borderId="25" xfId="127" applyNumberFormat="1" applyFont="1" applyFill="1" applyBorder="1" applyAlignment="1">
      <alignment vertical="center" wrapText="1"/>
    </xf>
    <xf numFmtId="3" fontId="68" fillId="37" borderId="25" xfId="127" applyNumberFormat="1" applyFont="1" applyFill="1" applyBorder="1" applyAlignment="1">
      <alignment horizontal="right" vertical="center" wrapText="1"/>
    </xf>
    <xf numFmtId="3" fontId="1" fillId="37" borderId="0" xfId="127" applyNumberFormat="1" applyFont="1" applyFill="1" applyAlignment="1">
      <alignment vertical="center" wrapText="1"/>
    </xf>
    <xf numFmtId="3" fontId="1" fillId="37" borderId="46" xfId="127" applyNumberFormat="1" applyFont="1" applyFill="1" applyBorder="1" applyAlignment="1">
      <alignment vertical="center" wrapText="1"/>
    </xf>
    <xf numFmtId="3" fontId="1" fillId="37" borderId="0" xfId="127" applyNumberFormat="1" applyFont="1" applyFill="1" applyAlignment="1">
      <alignment horizontal="right" vertical="center" wrapText="1"/>
    </xf>
    <xf numFmtId="3" fontId="1" fillId="37" borderId="46" xfId="127" applyNumberFormat="1" applyFont="1" applyFill="1" applyBorder="1" applyAlignment="1">
      <alignment horizontal="right" vertical="center" wrapText="1"/>
    </xf>
    <xf numFmtId="3" fontId="68" fillId="37" borderId="25" xfId="134" applyNumberFormat="1" applyFont="1" applyFill="1" applyBorder="1" applyAlignment="1">
      <alignment vertical="center"/>
    </xf>
    <xf numFmtId="3" fontId="1" fillId="37" borderId="0" xfId="134" applyNumberFormat="1" applyFont="1" applyFill="1" applyAlignment="1">
      <alignment vertical="center" wrapText="1"/>
    </xf>
    <xf numFmtId="3" fontId="1" fillId="37" borderId="46" xfId="134" applyNumberFormat="1" applyFont="1" applyFill="1" applyBorder="1" applyAlignment="1">
      <alignment vertical="center" wrapText="1"/>
    </xf>
    <xf numFmtId="3" fontId="68" fillId="37" borderId="25" xfId="127" applyNumberFormat="1" applyFont="1" applyFill="1" applyBorder="1" applyAlignment="1">
      <alignment vertical="center" wrapText="1"/>
    </xf>
    <xf numFmtId="188" fontId="0" fillId="0" borderId="0" xfId="0" applyNumberFormat="1"/>
    <xf numFmtId="0" fontId="99" fillId="0" borderId="0" xfId="128" applyFont="1"/>
    <xf numFmtId="0" fontId="96" fillId="33" borderId="36" xfId="124" applyFont="1" applyFill="1" applyBorder="1" applyAlignment="1">
      <alignment horizontal="center" vertical="center" wrapText="1"/>
    </xf>
    <xf numFmtId="0" fontId="76" fillId="2" borderId="0" xfId="124" applyFont="1" applyFill="1" applyAlignment="1">
      <alignment horizontal="left" wrapText="1" indent="1"/>
    </xf>
    <xf numFmtId="0" fontId="77" fillId="2" borderId="0" xfId="124" applyFont="1" applyFill="1" applyAlignment="1">
      <alignment horizontal="left" wrapText="1" indent="2"/>
    </xf>
    <xf numFmtId="0" fontId="100" fillId="0" borderId="0" xfId="128" applyFont="1"/>
    <xf numFmtId="0" fontId="76" fillId="2" borderId="0" xfId="124" applyFont="1" applyFill="1" applyAlignment="1">
      <alignment horizontal="left" wrapText="1"/>
    </xf>
    <xf numFmtId="0" fontId="76" fillId="2" borderId="18" xfId="124" applyFont="1" applyFill="1" applyBorder="1" applyAlignment="1">
      <alignment horizontal="left" wrapText="1"/>
    </xf>
    <xf numFmtId="0" fontId="1" fillId="0" borderId="0" xfId="128" applyFont="1"/>
    <xf numFmtId="188" fontId="1" fillId="0" borderId="0" xfId="125" applyNumberFormat="1" applyFont="1" applyAlignment="1">
      <alignment horizontal="right" wrapText="1"/>
    </xf>
    <xf numFmtId="3" fontId="1" fillId="0" borderId="0" xfId="125" applyNumberFormat="1" applyFont="1" applyAlignment="1">
      <alignment horizontal="right" wrapText="1"/>
    </xf>
    <xf numFmtId="188" fontId="5" fillId="0" borderId="0" xfId="125" applyNumberFormat="1" applyFont="1" applyAlignment="1">
      <alignment horizontal="right" wrapText="1"/>
    </xf>
    <xf numFmtId="3" fontId="5" fillId="0" borderId="0" xfId="125" applyNumberFormat="1" applyFont="1" applyAlignment="1">
      <alignment horizontal="right" wrapText="1"/>
    </xf>
    <xf numFmtId="188" fontId="1" fillId="0" borderId="18" xfId="125" applyNumberFormat="1" applyFont="1" applyBorder="1" applyAlignment="1">
      <alignment horizontal="right" wrapText="1"/>
    </xf>
    <xf numFmtId="3" fontId="1" fillId="0" borderId="18" xfId="125" applyNumberFormat="1" applyFont="1" applyBorder="1" applyAlignment="1">
      <alignment horizontal="right" wrapText="1"/>
    </xf>
    <xf numFmtId="188" fontId="3" fillId="0" borderId="0" xfId="0" applyNumberFormat="1" applyFont="1" applyAlignment="1">
      <alignment horizontal="right" wrapText="1"/>
    </xf>
    <xf numFmtId="0" fontId="68" fillId="0" borderId="44" xfId="0" applyFont="1" applyBorder="1" applyAlignment="1">
      <alignment horizontal="left" vertical="center"/>
    </xf>
    <xf numFmtId="0" fontId="68" fillId="0" borderId="46" xfId="0" applyFont="1" applyBorder="1" applyAlignment="1">
      <alignment horizontal="left" vertical="center"/>
    </xf>
    <xf numFmtId="0" fontId="1" fillId="0" borderId="42" xfId="0" applyFont="1" applyBorder="1" applyAlignment="1">
      <alignment horizontal="left" vertical="center"/>
    </xf>
    <xf numFmtId="0" fontId="1" fillId="0" borderId="41" xfId="0" applyFont="1" applyBorder="1" applyAlignment="1">
      <alignment horizontal="left" vertical="center"/>
    </xf>
    <xf numFmtId="184" fontId="4" fillId="36" borderId="21" xfId="133" applyNumberFormat="1" applyFont="1" applyFill="1" applyBorder="1" applyAlignment="1">
      <alignment horizontal="left" vertical="center"/>
    </xf>
    <xf numFmtId="2" fontId="4" fillId="36" borderId="21" xfId="133" applyNumberFormat="1" applyFont="1" applyFill="1" applyBorder="1" applyAlignment="1">
      <alignment horizontal="left" vertical="center"/>
    </xf>
    <xf numFmtId="0" fontId="68" fillId="0" borderId="35" xfId="0" applyFont="1" applyBorder="1" applyAlignment="1">
      <alignment horizontal="left" vertical="center"/>
    </xf>
    <xf numFmtId="0" fontId="68" fillId="0" borderId="46" xfId="0" applyFont="1" applyBorder="1" applyAlignment="1" applyProtection="1">
      <alignment horizontal="left" vertical="center"/>
      <protection locked="0"/>
    </xf>
    <xf numFmtId="0" fontId="1" fillId="0" borderId="35" xfId="0" applyFont="1" applyBorder="1" applyAlignment="1">
      <alignment horizontal="left" vertical="center"/>
    </xf>
    <xf numFmtId="0" fontId="79" fillId="0" borderId="0" xfId="126" applyFont="1"/>
    <xf numFmtId="0" fontId="101" fillId="0" borderId="0" xfId="128" applyFont="1"/>
    <xf numFmtId="0" fontId="79" fillId="0" borderId="0" xfId="0" applyFont="1" applyAlignment="1">
      <alignment horizontal="left"/>
    </xf>
    <xf numFmtId="0" fontId="79" fillId="0" borderId="0" xfId="0" applyFont="1" applyAlignment="1" applyProtection="1">
      <alignment vertical="center"/>
      <protection locked="0"/>
    </xf>
    <xf numFmtId="0" fontId="79" fillId="0" borderId="0" xfId="0" applyFont="1" applyAlignment="1">
      <alignment vertical="center"/>
    </xf>
    <xf numFmtId="0" fontId="101" fillId="0" borderId="0" xfId="127" applyFont="1"/>
    <xf numFmtId="0" fontId="1" fillId="0" borderId="0" xfId="0" applyFont="1" applyAlignment="1" applyProtection="1">
      <alignment horizontal="left" vertical="center"/>
      <protection locked="0"/>
    </xf>
    <xf numFmtId="0" fontId="3" fillId="0" borderId="46" xfId="0" applyFont="1" applyBorder="1" applyAlignment="1">
      <alignment horizontal="left" vertical="center"/>
    </xf>
    <xf numFmtId="0" fontId="1" fillId="0" borderId="46" xfId="0" applyFont="1" applyBorder="1" applyAlignment="1">
      <alignment horizontal="left" vertical="center"/>
    </xf>
    <xf numFmtId="0" fontId="3" fillId="0" borderId="44" xfId="0" applyFont="1" applyBorder="1" applyAlignment="1">
      <alignment horizontal="left" vertical="center"/>
    </xf>
    <xf numFmtId="0" fontId="1" fillId="0" borderId="0" xfId="0" applyFont="1" applyAlignment="1">
      <alignment horizontal="left" vertical="center" indent="1"/>
    </xf>
    <xf numFmtId="0" fontId="3" fillId="0" borderId="0" xfId="0" applyFont="1" applyAlignment="1">
      <alignment horizontal="left" vertical="center"/>
    </xf>
    <xf numFmtId="0" fontId="1" fillId="0" borderId="46" xfId="0" applyFont="1" applyBorder="1" applyAlignment="1">
      <alignment horizontal="left" vertical="center" indent="1"/>
    </xf>
    <xf numFmtId="0" fontId="5" fillId="0" borderId="0" xfId="0" applyFont="1" applyAlignment="1">
      <alignment horizontal="left" vertical="center" indent="2"/>
    </xf>
    <xf numFmtId="0" fontId="1" fillId="0" borderId="0" xfId="105" applyFont="1" applyAlignment="1" applyProtection="1">
      <alignment horizontal="left" vertical="center"/>
      <protection locked="0"/>
    </xf>
    <xf numFmtId="0" fontId="67" fillId="0" borderId="0" xfId="0" applyFont="1" applyAlignment="1">
      <alignment horizontal="left" vertical="center"/>
    </xf>
    <xf numFmtId="0" fontId="65" fillId="0" borderId="0" xfId="0" applyFont="1" applyAlignment="1">
      <alignment horizontal="left" vertical="center"/>
    </xf>
    <xf numFmtId="188" fontId="68" fillId="0" borderId="25" xfId="125" applyNumberFormat="1" applyFont="1" applyBorder="1" applyAlignment="1">
      <alignment horizontal="right" vertical="center" wrapText="1"/>
    </xf>
    <xf numFmtId="0" fontId="78" fillId="2" borderId="25" xfId="124" applyFont="1" applyFill="1" applyBorder="1" applyAlignment="1">
      <alignment horizontal="left" vertical="center" wrapText="1"/>
    </xf>
    <xf numFmtId="188" fontId="1" fillId="36" borderId="0" xfId="125" applyNumberFormat="1" applyFont="1" applyFill="1" applyAlignment="1">
      <alignment horizontal="right" wrapText="1"/>
    </xf>
    <xf numFmtId="188" fontId="1" fillId="36" borderId="18" xfId="125" applyNumberFormat="1" applyFont="1" applyFill="1" applyBorder="1" applyAlignment="1">
      <alignment horizontal="right" wrapText="1"/>
    </xf>
    <xf numFmtId="0" fontId="102" fillId="0" borderId="0" xfId="128" applyFont="1"/>
    <xf numFmtId="188" fontId="103" fillId="0" borderId="0" xfId="128" applyNumberFormat="1" applyFont="1"/>
    <xf numFmtId="188" fontId="1" fillId="0" borderId="0" xfId="128" applyNumberFormat="1" applyFont="1"/>
    <xf numFmtId="188" fontId="99" fillId="0" borderId="0" xfId="128" applyNumberFormat="1" applyFont="1"/>
    <xf numFmtId="3" fontId="103" fillId="0" borderId="0" xfId="128" applyNumberFormat="1" applyFont="1"/>
    <xf numFmtId="188" fontId="99" fillId="0" borderId="0" xfId="128" applyNumberFormat="1" applyFont="1" applyAlignment="1">
      <alignment horizontal="left" indent="1"/>
    </xf>
    <xf numFmtId="188" fontId="99" fillId="36" borderId="0" xfId="128" applyNumberFormat="1" applyFont="1" applyFill="1"/>
    <xf numFmtId="3" fontId="99" fillId="0" borderId="0" xfId="128" applyNumberFormat="1" applyFont="1"/>
    <xf numFmtId="3" fontId="1" fillId="0" borderId="0" xfId="128" applyNumberFormat="1" applyFont="1"/>
    <xf numFmtId="0" fontId="78" fillId="2" borderId="0" xfId="124" applyFont="1" applyFill="1" applyAlignment="1">
      <alignment horizontal="left" vertical="center" wrapText="1"/>
    </xf>
    <xf numFmtId="188" fontId="68" fillId="0" borderId="0" xfId="125" applyNumberFormat="1" applyFont="1" applyAlignment="1">
      <alignment horizontal="right" vertical="center" wrapText="1"/>
    </xf>
    <xf numFmtId="3" fontId="104" fillId="0" borderId="0" xfId="125" applyNumberFormat="1" applyFont="1" applyAlignment="1">
      <alignment horizontal="right" vertical="center" wrapText="1"/>
    </xf>
    <xf numFmtId="188" fontId="68" fillId="0" borderId="47" xfId="0" applyNumberFormat="1" applyFont="1" applyBorder="1" applyAlignment="1">
      <alignment horizontal="right" vertical="center"/>
    </xf>
    <xf numFmtId="188" fontId="68" fillId="35" borderId="47" xfId="0" applyNumberFormat="1" applyFont="1" applyFill="1" applyBorder="1" applyAlignment="1">
      <alignment horizontal="right" vertical="center"/>
    </xf>
    <xf numFmtId="3" fontId="68" fillId="0" borderId="25" xfId="125" applyNumberFormat="1" applyFont="1" applyBorder="1" applyAlignment="1">
      <alignment horizontal="right" vertical="center" wrapText="1"/>
    </xf>
    <xf numFmtId="188" fontId="1" fillId="0" borderId="0" xfId="0" applyNumberFormat="1" applyFont="1" applyAlignment="1">
      <alignment horizontal="right" vertical="center" wrapText="1"/>
    </xf>
    <xf numFmtId="188" fontId="1" fillId="0" borderId="35" xfId="0" applyNumberFormat="1" applyFont="1" applyBorder="1" applyAlignment="1">
      <alignment horizontal="right" vertical="center" wrapText="1"/>
    </xf>
    <xf numFmtId="188" fontId="1" fillId="0" borderId="44" xfId="0" applyNumberFormat="1" applyFont="1" applyBorder="1" applyAlignment="1">
      <alignment horizontal="right" vertical="center" wrapText="1"/>
    </xf>
    <xf numFmtId="188" fontId="1" fillId="0" borderId="0" xfId="0" applyNumberFormat="1" applyFont="1"/>
    <xf numFmtId="0" fontId="5" fillId="38" borderId="0" xfId="0" applyFont="1" applyFill="1" applyAlignment="1">
      <alignment horizontal="left" vertical="center" wrapText="1" indent="1"/>
    </xf>
    <xf numFmtId="188" fontId="1" fillId="0" borderId="64" xfId="0" applyNumberFormat="1" applyFont="1" applyBorder="1" applyAlignment="1">
      <alignment horizontal="right" vertical="center"/>
    </xf>
    <xf numFmtId="188" fontId="1" fillId="35" borderId="64" xfId="0" applyNumberFormat="1" applyFont="1" applyFill="1" applyBorder="1" applyAlignment="1">
      <alignment horizontal="right" vertical="center"/>
    </xf>
    <xf numFmtId="190" fontId="4" fillId="36" borderId="22" xfId="133" applyNumberFormat="1" applyFont="1" applyFill="1" applyBorder="1" applyAlignment="1">
      <alignment horizontal="right" vertical="center" wrapText="1"/>
    </xf>
    <xf numFmtId="190" fontId="4" fillId="36" borderId="65" xfId="133" applyNumberFormat="1" applyFont="1" applyFill="1" applyBorder="1" applyAlignment="1">
      <alignment horizontal="right" vertical="center" wrapText="1"/>
    </xf>
    <xf numFmtId="190" fontId="70" fillId="32" borderId="31" xfId="132" applyNumberFormat="1" applyFont="1" applyFill="1" applyBorder="1" applyAlignment="1">
      <alignment horizontal="center" vertical="center" wrapText="1"/>
    </xf>
    <xf numFmtId="190" fontId="105" fillId="39" borderId="66" xfId="132" applyNumberFormat="1" applyFont="1" applyFill="1" applyBorder="1" applyAlignment="1">
      <alignment horizontal="center" vertical="center" wrapText="1"/>
    </xf>
    <xf numFmtId="190" fontId="64" fillId="36" borderId="35" xfId="133" applyNumberFormat="1" applyFill="1" applyBorder="1" applyAlignment="1">
      <alignment horizontal="right" vertical="center" wrapText="1"/>
    </xf>
    <xf numFmtId="191" fontId="4" fillId="36" borderId="47" xfId="133" applyNumberFormat="1" applyFont="1" applyFill="1" applyBorder="1" applyAlignment="1">
      <alignment horizontal="right" vertical="center" wrapText="1"/>
    </xf>
    <xf numFmtId="191" fontId="4" fillId="36" borderId="65" xfId="133" applyNumberFormat="1" applyFont="1" applyFill="1" applyBorder="1" applyAlignment="1">
      <alignment horizontal="right" vertical="center" wrapText="1"/>
    </xf>
    <xf numFmtId="191" fontId="4" fillId="36" borderId="61" xfId="133" applyNumberFormat="1" applyFont="1" applyFill="1" applyBorder="1" applyAlignment="1">
      <alignment horizontal="right" vertical="center" wrapText="1"/>
    </xf>
    <xf numFmtId="192" fontId="4" fillId="36" borderId="32" xfId="133" applyNumberFormat="1" applyFont="1" applyFill="1" applyBorder="1" applyAlignment="1">
      <alignment horizontal="right" vertical="center" wrapText="1"/>
    </xf>
    <xf numFmtId="192" fontId="4" fillId="36" borderId="63" xfId="133" applyNumberFormat="1" applyFont="1" applyFill="1" applyBorder="1" applyAlignment="1">
      <alignment vertical="center" wrapText="1"/>
    </xf>
    <xf numFmtId="192" fontId="4" fillId="36" borderId="0" xfId="133" applyNumberFormat="1" applyFont="1" applyFill="1" applyAlignment="1">
      <alignment horizontal="right" vertical="center" wrapText="1"/>
    </xf>
    <xf numFmtId="192" fontId="4" fillId="36" borderId="22" xfId="133" applyNumberFormat="1" applyFont="1" applyFill="1" applyBorder="1" applyAlignment="1">
      <alignment horizontal="right" vertical="center" wrapText="1"/>
    </xf>
    <xf numFmtId="2" fontId="4" fillId="36" borderId="0" xfId="133" applyNumberFormat="1" applyFont="1" applyFill="1" applyAlignment="1">
      <alignment horizontal="right" vertical="center" wrapText="1"/>
    </xf>
    <xf numFmtId="184" fontId="1" fillId="0" borderId="0" xfId="0" applyNumberFormat="1" applyFont="1"/>
    <xf numFmtId="0" fontId="5" fillId="0" borderId="0" xfId="0" applyFont="1" applyAlignment="1">
      <alignment horizontal="left" vertical="center" wrapText="1" indent="2"/>
    </xf>
    <xf numFmtId="165" fontId="8" fillId="2" borderId="0" xfId="131" applyNumberFormat="1" applyFont="1" applyFill="1" applyAlignment="1" applyProtection="1">
      <alignment horizontal="right" vertical="center" wrapText="1"/>
      <protection locked="0"/>
    </xf>
    <xf numFmtId="0" fontId="1" fillId="36" borderId="0" xfId="127" applyFont="1" applyFill="1" applyAlignment="1">
      <alignment horizontal="right" vertical="center" wrapText="1"/>
    </xf>
    <xf numFmtId="49" fontId="5" fillId="0" borderId="0" xfId="0" applyNumberFormat="1" applyFont="1" applyAlignment="1" applyProtection="1">
      <alignment horizontal="left" vertical="center" wrapText="1" indent="1"/>
      <protection locked="0"/>
    </xf>
    <xf numFmtId="0" fontId="5" fillId="0" borderId="35" xfId="0" applyFont="1" applyBorder="1" applyAlignment="1" applyProtection="1">
      <alignment horizontal="left" vertical="center" wrapText="1" indent="1"/>
      <protection locked="0"/>
    </xf>
    <xf numFmtId="188" fontId="5" fillId="0" borderId="35" xfId="131" applyNumberFormat="1" applyFont="1" applyBorder="1" applyAlignment="1" applyProtection="1">
      <alignment horizontal="right" vertical="center"/>
      <protection locked="0"/>
    </xf>
    <xf numFmtId="188" fontId="5" fillId="35" borderId="35" xfId="131" applyNumberFormat="1" applyFont="1" applyFill="1" applyBorder="1" applyAlignment="1" applyProtection="1">
      <alignment horizontal="right" vertical="center"/>
      <protection locked="0"/>
    </xf>
    <xf numFmtId="188" fontId="80" fillId="0" borderId="0" xfId="129" applyNumberFormat="1" applyFont="1" applyAlignment="1">
      <alignment vertical="center"/>
    </xf>
    <xf numFmtId="188" fontId="80" fillId="0" borderId="46" xfId="129" applyNumberFormat="1" applyFont="1" applyBorder="1" applyAlignment="1">
      <alignment vertical="center"/>
    </xf>
    <xf numFmtId="188" fontId="80" fillId="0" borderId="41" xfId="129" applyNumberFormat="1" applyFont="1" applyBorder="1" applyAlignment="1">
      <alignment vertical="center"/>
    </xf>
    <xf numFmtId="0" fontId="1" fillId="0" borderId="0" xfId="105" applyFont="1" applyAlignment="1" applyProtection="1">
      <alignment horizontal="left" vertical="center" indent="1"/>
      <protection locked="0"/>
    </xf>
    <xf numFmtId="188" fontId="80" fillId="35" borderId="0" xfId="129" applyNumberFormat="1" applyFont="1" applyFill="1" applyAlignment="1">
      <alignment vertical="center"/>
    </xf>
    <xf numFmtId="188" fontId="80" fillId="35" borderId="46" xfId="129" applyNumberFormat="1" applyFont="1" applyFill="1" applyBorder="1" applyAlignment="1">
      <alignment vertical="center"/>
    </xf>
    <xf numFmtId="188" fontId="80" fillId="35" borderId="41" xfId="129" applyNumberFormat="1" applyFont="1" applyFill="1" applyBorder="1" applyAlignment="1">
      <alignment vertical="center"/>
    </xf>
    <xf numFmtId="0" fontId="97" fillId="0" borderId="0" xfId="0" applyFont="1" applyAlignment="1">
      <alignment horizontal="right" vertical="center"/>
    </xf>
    <xf numFmtId="188" fontId="1" fillId="0" borderId="0" xfId="0" applyNumberFormat="1" applyFont="1" applyAlignment="1">
      <alignment vertical="center"/>
    </xf>
    <xf numFmtId="0" fontId="5" fillId="0" borderId="47" xfId="0" applyFont="1" applyBorder="1" applyAlignment="1">
      <alignment horizontal="left" wrapText="1"/>
    </xf>
    <xf numFmtId="0" fontId="1" fillId="0" borderId="0" xfId="0" applyFont="1" applyAlignment="1">
      <alignment horizontal="left" vertical="center" wrapText="1" indent="1"/>
    </xf>
    <xf numFmtId="2" fontId="1" fillId="0" borderId="57" xfId="0" applyNumberFormat="1" applyFont="1" applyBorder="1"/>
    <xf numFmtId="0" fontId="103" fillId="0" borderId="0" xfId="128" applyFont="1"/>
    <xf numFmtId="188" fontId="68" fillId="0" borderId="0" xfId="128" applyNumberFormat="1" applyFont="1"/>
    <xf numFmtId="0" fontId="68" fillId="0" borderId="58" xfId="0" applyFont="1" applyBorder="1" applyAlignment="1">
      <alignment horizontal="left" vertical="center" wrapText="1"/>
    </xf>
    <xf numFmtId="0" fontId="1" fillId="0" borderId="0" xfId="0" applyFont="1" applyAlignment="1">
      <alignment horizontal="left" wrapText="1"/>
    </xf>
    <xf numFmtId="0" fontId="5" fillId="0" borderId="0" xfId="0" applyFont="1" applyAlignment="1">
      <alignment horizontal="left" vertical="center" indent="3"/>
    </xf>
    <xf numFmtId="0" fontId="81" fillId="0" borderId="0" xfId="126" applyFont="1"/>
    <xf numFmtId="192" fontId="69" fillId="0" borderId="0" xfId="126" applyNumberFormat="1"/>
    <xf numFmtId="190" fontId="1" fillId="40" borderId="0" xfId="0" applyNumberFormat="1" applyFont="1" applyFill="1"/>
    <xf numFmtId="0" fontId="82" fillId="0" borderId="0" xfId="126" applyFont="1"/>
    <xf numFmtId="0" fontId="83" fillId="0" borderId="0" xfId="126" applyFont="1" applyAlignment="1">
      <alignment horizontal="right"/>
    </xf>
    <xf numFmtId="190" fontId="83" fillId="0" borderId="0" xfId="126" applyNumberFormat="1" applyFont="1"/>
    <xf numFmtId="0" fontId="83" fillId="0" borderId="0" xfId="126" applyFont="1"/>
    <xf numFmtId="0" fontId="84" fillId="0" borderId="0" xfId="126" applyFont="1"/>
    <xf numFmtId="0" fontId="85" fillId="0" borderId="0" xfId="126" applyFont="1" applyAlignment="1">
      <alignment horizontal="right"/>
    </xf>
    <xf numFmtId="190" fontId="85" fillId="0" borderId="0" xfId="126" applyNumberFormat="1" applyFont="1"/>
    <xf numFmtId="0" fontId="86" fillId="0" borderId="0" xfId="126" applyFont="1"/>
    <xf numFmtId="0" fontId="69" fillId="0" borderId="0" xfId="126" applyAlignment="1">
      <alignment horizontal="right"/>
    </xf>
    <xf numFmtId="0" fontId="77" fillId="2" borderId="0" xfId="124" applyFont="1" applyFill="1" applyAlignment="1">
      <alignment horizontal="left" wrapText="1" indent="1"/>
    </xf>
    <xf numFmtId="0" fontId="2" fillId="0" borderId="0" xfId="0" applyFont="1"/>
    <xf numFmtId="184" fontId="4" fillId="36" borderId="67" xfId="133" applyNumberFormat="1" applyFont="1" applyFill="1" applyBorder="1" applyAlignment="1">
      <alignment horizontal="left" vertical="center" wrapText="1"/>
    </xf>
    <xf numFmtId="0" fontId="87" fillId="0" borderId="0" xfId="0" applyFont="1"/>
    <xf numFmtId="0" fontId="88" fillId="0" borderId="0" xfId="0" applyFont="1"/>
    <xf numFmtId="0" fontId="106" fillId="0" borderId="0" xfId="0" applyFont="1"/>
    <xf numFmtId="0" fontId="107" fillId="0" borderId="0" xfId="96" applyFont="1"/>
    <xf numFmtId="188" fontId="1" fillId="35" borderId="0" xfId="0" applyNumberFormat="1" applyFont="1" applyFill="1" applyAlignment="1">
      <alignment horizontal="right" vertical="center" wrapText="1"/>
    </xf>
    <xf numFmtId="188" fontId="1" fillId="36" borderId="0" xfId="0" applyNumberFormat="1" applyFont="1" applyFill="1" applyAlignment="1">
      <alignment horizontal="right" vertical="center"/>
    </xf>
    <xf numFmtId="0" fontId="1" fillId="0" borderId="0" xfId="124" applyFont="1" applyAlignment="1">
      <alignment vertical="center"/>
    </xf>
    <xf numFmtId="0" fontId="69" fillId="0" borderId="0" xfId="126" applyAlignment="1">
      <alignment vertical="center" wrapText="1"/>
    </xf>
    <xf numFmtId="0" fontId="99" fillId="36" borderId="0" xfId="128" applyFont="1" applyFill="1"/>
    <xf numFmtId="0" fontId="80" fillId="0" borderId="0" xfId="0" applyFont="1" applyAlignment="1">
      <alignment horizontal="left" vertical="center" wrapText="1" indent="1"/>
    </xf>
    <xf numFmtId="0" fontId="89" fillId="0" borderId="0" xfId="0" applyFont="1" applyAlignment="1">
      <alignment horizontal="left" vertical="center" indent="2"/>
    </xf>
    <xf numFmtId="0" fontId="80" fillId="0" borderId="0" xfId="0" applyFont="1" applyAlignment="1">
      <alignment horizontal="left" vertical="center" indent="1"/>
    </xf>
    <xf numFmtId="0" fontId="80" fillId="0" borderId="0" xfId="105" applyFont="1" applyAlignment="1" applyProtection="1">
      <alignment horizontal="left" vertical="center" indent="1"/>
      <protection locked="0"/>
    </xf>
    <xf numFmtId="188" fontId="80" fillId="0" borderId="0" xfId="0" applyNumberFormat="1" applyFont="1" applyAlignment="1">
      <alignment horizontal="right" vertical="center"/>
    </xf>
    <xf numFmtId="188" fontId="89" fillId="0" borderId="0" xfId="0" applyNumberFormat="1" applyFont="1" applyAlignment="1">
      <alignment horizontal="right" vertical="center"/>
    </xf>
    <xf numFmtId="188" fontId="80" fillId="0" borderId="46" xfId="0" applyNumberFormat="1" applyFont="1" applyBorder="1" applyAlignment="1">
      <alignment horizontal="right" vertical="center"/>
    </xf>
    <xf numFmtId="188" fontId="90" fillId="0" borderId="0" xfId="0" applyNumberFormat="1" applyFont="1" applyAlignment="1">
      <alignment horizontal="right" vertical="center"/>
    </xf>
    <xf numFmtId="188" fontId="91" fillId="0" borderId="0" xfId="0" applyNumberFormat="1" applyFont="1" applyAlignment="1">
      <alignment horizontal="right" vertical="center"/>
    </xf>
    <xf numFmtId="0" fontId="1" fillId="0" borderId="42" xfId="0" applyFont="1" applyBorder="1" applyAlignment="1">
      <alignment horizontal="left" vertical="center" indent="1"/>
    </xf>
    <xf numFmtId="188" fontId="80" fillId="0" borderId="42" xfId="0" applyNumberFormat="1" applyFont="1" applyBorder="1" applyAlignment="1">
      <alignment horizontal="right" vertical="center"/>
    </xf>
    <xf numFmtId="2" fontId="1" fillId="34" borderId="57" xfId="0" applyNumberFormat="1" applyFont="1" applyFill="1" applyBorder="1"/>
    <xf numFmtId="3" fontId="97" fillId="35" borderId="0" xfId="0" applyNumberFormat="1" applyFont="1" applyFill="1" applyAlignment="1">
      <alignment horizontal="right" vertical="center" wrapText="1"/>
    </xf>
    <xf numFmtId="190" fontId="4" fillId="0" borderId="18" xfId="133" applyNumberFormat="1" applyFont="1" applyBorder="1" applyAlignment="1">
      <alignment vertical="center" wrapText="1"/>
    </xf>
    <xf numFmtId="188" fontId="5" fillId="0" borderId="0" xfId="129" applyNumberFormat="1" applyFont="1" applyAlignment="1">
      <alignment vertical="center"/>
    </xf>
    <xf numFmtId="188" fontId="5" fillId="35" borderId="0" xfId="129" applyNumberFormat="1" applyFont="1" applyFill="1" applyAlignment="1">
      <alignment vertical="center"/>
    </xf>
    <xf numFmtId="0" fontId="109" fillId="0" borderId="0" xfId="0" applyFont="1"/>
    <xf numFmtId="188" fontId="5" fillId="0" borderId="42" xfId="129" applyNumberFormat="1" applyFont="1" applyBorder="1" applyAlignment="1">
      <alignment vertical="center"/>
    </xf>
    <xf numFmtId="188" fontId="5" fillId="35" borderId="42" xfId="129" applyNumberFormat="1" applyFont="1" applyFill="1" applyBorder="1" applyAlignment="1">
      <alignment vertical="center"/>
    </xf>
    <xf numFmtId="0" fontId="1" fillId="0" borderId="48" xfId="134" applyFont="1" applyBorder="1" applyAlignment="1">
      <alignment vertical="center" wrapText="1"/>
    </xf>
    <xf numFmtId="188" fontId="80" fillId="0" borderId="48" xfId="129" applyNumberFormat="1" applyFont="1" applyBorder="1" applyAlignment="1">
      <alignment vertical="center"/>
    </xf>
    <xf numFmtId="188" fontId="80" fillId="35" borderId="48" xfId="129" applyNumberFormat="1" applyFont="1" applyFill="1" applyBorder="1" applyAlignment="1">
      <alignment vertical="center"/>
    </xf>
    <xf numFmtId="188" fontId="80" fillId="0" borderId="47" xfId="129" applyNumberFormat="1" applyFont="1" applyBorder="1" applyAlignment="1">
      <alignment vertical="center"/>
    </xf>
    <xf numFmtId="188" fontId="80" fillId="35" borderId="47" xfId="129" applyNumberFormat="1" applyFont="1" applyFill="1" applyBorder="1" applyAlignment="1">
      <alignment vertical="center"/>
    </xf>
    <xf numFmtId="188" fontId="1" fillId="0" borderId="48" xfId="129" applyNumberFormat="1" applyFont="1" applyBorder="1" applyAlignment="1">
      <alignment vertical="center"/>
    </xf>
    <xf numFmtId="188" fontId="1" fillId="35" borderId="48" xfId="129" applyNumberFormat="1" applyFont="1" applyFill="1" applyBorder="1" applyAlignment="1">
      <alignment vertical="center"/>
    </xf>
    <xf numFmtId="0" fontId="64" fillId="0" borderId="0" xfId="0" applyFont="1"/>
    <xf numFmtId="0" fontId="5" fillId="0" borderId="52" xfId="0" applyFont="1" applyBorder="1" applyAlignment="1">
      <alignment horizontal="left" vertical="center"/>
    </xf>
    <xf numFmtId="188" fontId="110" fillId="0" borderId="0" xfId="0" applyNumberFormat="1" applyFont="1" applyAlignment="1">
      <alignment horizontal="right" vertical="center" wrapText="1"/>
    </xf>
    <xf numFmtId="188" fontId="110" fillId="35" borderId="0" xfId="0" applyNumberFormat="1" applyFont="1" applyFill="1" applyAlignment="1">
      <alignment horizontal="right" vertical="center" wrapText="1"/>
    </xf>
    <xf numFmtId="0" fontId="1" fillId="0" borderId="72" xfId="0" applyFont="1" applyBorder="1" applyAlignment="1">
      <alignment horizontal="left" vertical="center"/>
    </xf>
    <xf numFmtId="0" fontId="68" fillId="0" borderId="74" xfId="0" applyFont="1" applyBorder="1" applyAlignment="1">
      <alignment horizontal="left" vertical="center"/>
    </xf>
    <xf numFmtId="188" fontId="97" fillId="0" borderId="47" xfId="0" applyNumberFormat="1" applyFont="1" applyBorder="1" applyAlignment="1">
      <alignment horizontal="right" vertical="center" wrapText="1"/>
    </xf>
    <xf numFmtId="188" fontId="97" fillId="35" borderId="47" xfId="0" applyNumberFormat="1" applyFont="1" applyFill="1" applyBorder="1" applyAlignment="1">
      <alignment horizontal="right" vertical="center" wrapText="1"/>
    </xf>
    <xf numFmtId="0" fontId="1" fillId="0" borderId="75" xfId="0" applyFont="1" applyBorder="1" applyAlignment="1">
      <alignment horizontal="left" vertical="center"/>
    </xf>
    <xf numFmtId="188" fontId="97" fillId="0" borderId="76" xfId="0" applyNumberFormat="1" applyFont="1" applyBorder="1" applyAlignment="1">
      <alignment horizontal="right" vertical="center" wrapText="1"/>
    </xf>
    <xf numFmtId="188" fontId="97" fillId="35" borderId="76" xfId="0" applyNumberFormat="1" applyFont="1" applyFill="1" applyBorder="1" applyAlignment="1">
      <alignment horizontal="right" vertical="center" wrapText="1"/>
    </xf>
    <xf numFmtId="0" fontId="108" fillId="41" borderId="0" xfId="96" applyFont="1" applyFill="1"/>
    <xf numFmtId="3" fontId="68" fillId="0" borderId="25" xfId="127" applyNumberFormat="1" applyFont="1" applyBorder="1" applyAlignment="1">
      <alignment horizontal="right" vertical="center" wrapText="1"/>
    </xf>
    <xf numFmtId="3" fontId="1" fillId="0" borderId="0" xfId="127" applyNumberFormat="1" applyFont="1" applyAlignment="1">
      <alignment horizontal="right" vertical="center" wrapText="1"/>
    </xf>
    <xf numFmtId="0" fontId="5" fillId="0" borderId="0" xfId="134" quotePrefix="1" applyFont="1" applyAlignment="1">
      <alignment horizontal="left" vertical="center" wrapText="1" indent="1"/>
    </xf>
    <xf numFmtId="3" fontId="5" fillId="0" borderId="0" xfId="127" applyNumberFormat="1" applyFont="1" applyAlignment="1">
      <alignment horizontal="right" vertical="center" wrapText="1"/>
    </xf>
    <xf numFmtId="3" fontId="5" fillId="37" borderId="0" xfId="127" applyNumberFormat="1" applyFont="1" applyFill="1" applyAlignment="1">
      <alignment vertical="center" wrapText="1"/>
    </xf>
    <xf numFmtId="0" fontId="5" fillId="0" borderId="77" xfId="134" quotePrefix="1" applyFont="1" applyBorder="1" applyAlignment="1">
      <alignment horizontal="left" vertical="center" wrapText="1" indent="1"/>
    </xf>
    <xf numFmtId="3" fontId="5" fillId="0" borderId="77" xfId="127" applyNumberFormat="1" applyFont="1" applyBorder="1" applyAlignment="1">
      <alignment horizontal="right" vertical="center" wrapText="1"/>
    </xf>
    <xf numFmtId="3" fontId="5" fillId="37" borderId="77" xfId="127" applyNumberFormat="1" applyFont="1" applyFill="1" applyBorder="1" applyAlignment="1">
      <alignment vertical="center" wrapText="1"/>
    </xf>
    <xf numFmtId="0" fontId="5" fillId="0" borderId="0" xfId="134" applyFont="1" applyAlignment="1">
      <alignment horizontal="left" vertical="center" wrapText="1"/>
    </xf>
    <xf numFmtId="0" fontId="5" fillId="0" borderId="77" xfId="134" applyFont="1" applyBorder="1" applyAlignment="1">
      <alignment horizontal="left" vertical="center" wrapText="1"/>
    </xf>
    <xf numFmtId="0" fontId="1" fillId="0" borderId="4" xfId="134" applyFont="1" applyBorder="1" applyAlignment="1">
      <alignment vertical="center" wrapText="1"/>
    </xf>
    <xf numFmtId="3" fontId="1" fillId="0" borderId="4" xfId="127" applyNumberFormat="1" applyFont="1" applyBorder="1" applyAlignment="1">
      <alignment horizontal="right" vertical="center" wrapText="1"/>
    </xf>
    <xf numFmtId="3" fontId="1" fillId="37" borderId="4" xfId="127" applyNumberFormat="1" applyFont="1" applyFill="1" applyBorder="1" applyAlignment="1">
      <alignment horizontal="right" vertical="center" wrapText="1"/>
    </xf>
    <xf numFmtId="0" fontId="68" fillId="0" borderId="0" xfId="134" applyFont="1" applyAlignment="1">
      <alignment vertical="center" wrapText="1"/>
    </xf>
    <xf numFmtId="3" fontId="5" fillId="37" borderId="0" xfId="127" applyNumberFormat="1" applyFont="1" applyFill="1" applyAlignment="1">
      <alignment horizontal="right" vertical="center" wrapText="1"/>
    </xf>
    <xf numFmtId="3" fontId="1" fillId="0" borderId="48" xfId="127" applyNumberFormat="1" applyFont="1" applyBorder="1" applyAlignment="1">
      <alignment horizontal="right" vertical="center" wrapText="1"/>
    </xf>
    <xf numFmtId="3" fontId="1" fillId="37" borderId="48" xfId="127" applyNumberFormat="1" applyFont="1" applyFill="1" applyBorder="1" applyAlignment="1">
      <alignment horizontal="right" vertical="center" wrapText="1"/>
    </xf>
    <xf numFmtId="3" fontId="5" fillId="37" borderId="77" xfId="127" applyNumberFormat="1" applyFont="1" applyFill="1" applyBorder="1" applyAlignment="1">
      <alignment horizontal="right" vertical="center" wrapText="1"/>
    </xf>
    <xf numFmtId="0" fontId="1" fillId="0" borderId="42" xfId="134" applyFont="1" applyBorder="1" applyAlignment="1">
      <alignment vertical="center" wrapText="1"/>
    </xf>
    <xf numFmtId="3" fontId="1" fillId="0" borderId="42" xfId="127" applyNumberFormat="1" applyFont="1" applyBorder="1" applyAlignment="1">
      <alignment horizontal="right" vertical="center" wrapText="1"/>
    </xf>
    <xf numFmtId="3" fontId="1" fillId="37" borderId="42" xfId="127" applyNumberFormat="1" applyFont="1" applyFill="1" applyBorder="1" applyAlignment="1">
      <alignment horizontal="right" vertical="center" wrapText="1"/>
    </xf>
    <xf numFmtId="3" fontId="1" fillId="0" borderId="46" xfId="127" applyNumberFormat="1" applyFont="1" applyBorder="1" applyAlignment="1">
      <alignment horizontal="right" vertical="center" wrapText="1"/>
    </xf>
    <xf numFmtId="0" fontId="1" fillId="0" borderId="0" xfId="127" applyFont="1" applyAlignment="1">
      <alignment horizontal="right" vertical="center" wrapText="1"/>
    </xf>
    <xf numFmtId="0" fontId="111" fillId="41" borderId="0" xfId="96" applyFont="1" applyFill="1"/>
    <xf numFmtId="0" fontId="112" fillId="0" borderId="0" xfId="96" applyFont="1"/>
    <xf numFmtId="194" fontId="97" fillId="0" borderId="0" xfId="0" applyNumberFormat="1" applyFont="1" applyAlignment="1">
      <alignment horizontal="right" vertical="center" wrapText="1"/>
    </xf>
    <xf numFmtId="183" fontId="97" fillId="0" borderId="42" xfId="0" applyNumberFormat="1" applyFont="1" applyBorder="1" applyAlignment="1">
      <alignment horizontal="right" vertical="center" wrapText="1"/>
    </xf>
    <xf numFmtId="183" fontId="97" fillId="35" borderId="42" xfId="0" applyNumberFormat="1" applyFont="1" applyFill="1" applyBorder="1" applyAlignment="1">
      <alignment horizontal="right" vertical="center" wrapText="1"/>
    </xf>
    <xf numFmtId="183" fontId="97" fillId="0" borderId="0" xfId="0" applyNumberFormat="1" applyFont="1" applyAlignment="1">
      <alignment horizontal="right" vertical="center" wrapText="1"/>
    </xf>
    <xf numFmtId="183" fontId="97" fillId="35" borderId="0" xfId="0" applyNumberFormat="1" applyFont="1" applyFill="1" applyAlignment="1">
      <alignment horizontal="right" vertical="center" wrapText="1"/>
    </xf>
    <xf numFmtId="183" fontId="97" fillId="0" borderId="73" xfId="0" applyNumberFormat="1" applyFont="1" applyBorder="1" applyAlignment="1">
      <alignment horizontal="right" vertical="center" wrapText="1"/>
    </xf>
    <xf numFmtId="183" fontId="97" fillId="35" borderId="73" xfId="0" applyNumberFormat="1" applyFont="1" applyFill="1" applyBorder="1" applyAlignment="1">
      <alignment horizontal="right" vertical="center" wrapText="1"/>
    </xf>
    <xf numFmtId="3" fontId="97" fillId="0" borderId="76" xfId="0" applyNumberFormat="1" applyFont="1" applyBorder="1" applyAlignment="1">
      <alignment horizontal="right" vertical="center" wrapText="1"/>
    </xf>
    <xf numFmtId="3" fontId="97" fillId="35" borderId="76" xfId="0" applyNumberFormat="1" applyFont="1" applyFill="1" applyBorder="1" applyAlignment="1">
      <alignment horizontal="right" vertical="center" wrapText="1"/>
    </xf>
    <xf numFmtId="194" fontId="97" fillId="0" borderId="42" xfId="0" applyNumberFormat="1" applyFont="1" applyBorder="1" applyAlignment="1">
      <alignment horizontal="right" vertical="center" wrapText="1"/>
    </xf>
    <xf numFmtId="194" fontId="97" fillId="0" borderId="73" xfId="0" applyNumberFormat="1" applyFont="1" applyBorder="1" applyAlignment="1">
      <alignment horizontal="right" vertical="center" wrapText="1"/>
    </xf>
    <xf numFmtId="188" fontId="113" fillId="0" borderId="0" xfId="0" applyNumberFormat="1" applyFont="1" applyAlignment="1">
      <alignment horizontal="right"/>
    </xf>
    <xf numFmtId="3" fontId="113" fillId="0" borderId="0" xfId="0" applyNumberFormat="1" applyFont="1" applyAlignment="1">
      <alignment horizontal="right"/>
    </xf>
    <xf numFmtId="0" fontId="68" fillId="0" borderId="52" xfId="0" applyFont="1" applyBorder="1" applyAlignment="1">
      <alignment horizontal="left" vertical="center"/>
    </xf>
    <xf numFmtId="183" fontId="1" fillId="0" borderId="0" xfId="0" applyNumberFormat="1" applyFont="1"/>
    <xf numFmtId="183" fontId="114" fillId="0" borderId="0" xfId="0" applyNumberFormat="1" applyFont="1" applyAlignment="1">
      <alignment horizontal="right" vertical="center" wrapText="1"/>
    </xf>
    <xf numFmtId="183" fontId="110" fillId="0" borderId="0" xfId="0" applyNumberFormat="1" applyFont="1" applyAlignment="1">
      <alignment horizontal="right" vertical="center" wrapText="1"/>
    </xf>
    <xf numFmtId="183" fontId="110" fillId="35" borderId="0" xfId="0" applyNumberFormat="1" applyFont="1" applyFill="1" applyAlignment="1">
      <alignment horizontal="right" vertical="center" wrapText="1"/>
    </xf>
    <xf numFmtId="188" fontId="99" fillId="0" borderId="0" xfId="128" applyNumberFormat="1" applyFont="1" applyAlignment="1">
      <alignment horizontal="right"/>
    </xf>
    <xf numFmtId="188" fontId="89" fillId="0" borderId="0" xfId="129" applyNumberFormat="1" applyFont="1" applyAlignment="1">
      <alignment vertical="center"/>
    </xf>
    <xf numFmtId="188" fontId="89" fillId="35" borderId="0" xfId="129" applyNumberFormat="1" applyFont="1" applyFill="1" applyAlignment="1">
      <alignment vertical="center"/>
    </xf>
    <xf numFmtId="188" fontId="89" fillId="0" borderId="42" xfId="129" applyNumberFormat="1" applyFont="1" applyBorder="1" applyAlignment="1">
      <alignment vertical="center"/>
    </xf>
    <xf numFmtId="188" fontId="89" fillId="35" borderId="42" xfId="129" applyNumberFormat="1" applyFont="1" applyFill="1" applyBorder="1" applyAlignment="1">
      <alignment vertical="center"/>
    </xf>
    <xf numFmtId="194" fontId="97" fillId="35" borderId="42" xfId="0" applyNumberFormat="1" applyFont="1" applyFill="1" applyBorder="1" applyAlignment="1">
      <alignment horizontal="right" vertical="center" wrapText="1"/>
    </xf>
    <xf numFmtId="194" fontId="97" fillId="35" borderId="0" xfId="0" applyNumberFormat="1" applyFont="1" applyFill="1" applyAlignment="1">
      <alignment horizontal="right" vertical="center" wrapText="1"/>
    </xf>
    <xf numFmtId="194" fontId="97" fillId="35" borderId="73" xfId="0" applyNumberFormat="1" applyFont="1" applyFill="1" applyBorder="1" applyAlignment="1">
      <alignment horizontal="right" vertical="center" wrapText="1"/>
    </xf>
    <xf numFmtId="0" fontId="5" fillId="0" borderId="52" xfId="0" applyFont="1" applyBorder="1" applyAlignment="1">
      <alignment horizontal="left" vertical="center" indent="3"/>
    </xf>
    <xf numFmtId="0" fontId="110" fillId="0" borderId="0" xfId="0" applyFont="1" applyAlignment="1">
      <alignment horizontal="left" vertical="center" wrapText="1"/>
    </xf>
    <xf numFmtId="0" fontId="68" fillId="0" borderId="54" xfId="0" applyFont="1" applyBorder="1" applyAlignment="1">
      <alignment horizontal="left" vertical="center"/>
    </xf>
    <xf numFmtId="183" fontId="114" fillId="0" borderId="42" xfId="0" applyNumberFormat="1" applyFont="1" applyBorder="1" applyAlignment="1">
      <alignment horizontal="right" vertical="center" wrapText="1"/>
    </xf>
    <xf numFmtId="183" fontId="114" fillId="35" borderId="42" xfId="0" applyNumberFormat="1" applyFont="1" applyFill="1" applyBorder="1" applyAlignment="1">
      <alignment horizontal="right" vertical="center" wrapText="1"/>
    </xf>
    <xf numFmtId="194" fontId="114" fillId="0" borderId="0" xfId="0" applyNumberFormat="1" applyFont="1" applyAlignment="1">
      <alignment horizontal="right" vertical="center" wrapText="1"/>
    </xf>
    <xf numFmtId="194" fontId="114" fillId="35" borderId="0" xfId="0" applyNumberFormat="1" applyFont="1" applyFill="1" applyAlignment="1">
      <alignment horizontal="right" vertical="center" wrapText="1"/>
    </xf>
    <xf numFmtId="183" fontId="97" fillId="0" borderId="76" xfId="0" applyNumberFormat="1" applyFont="1" applyBorder="1" applyAlignment="1">
      <alignment horizontal="right" vertical="center" wrapText="1"/>
    </xf>
    <xf numFmtId="183" fontId="97" fillId="35" borderId="76" xfId="0" applyNumberFormat="1" applyFont="1" applyFill="1" applyBorder="1" applyAlignment="1">
      <alignment horizontal="right" vertical="center" wrapText="1"/>
    </xf>
    <xf numFmtId="194" fontId="114" fillId="35" borderId="44" xfId="0" applyNumberFormat="1" applyFont="1" applyFill="1" applyBorder="1" applyAlignment="1">
      <alignment horizontal="right" vertical="center" wrapText="1"/>
    </xf>
    <xf numFmtId="0" fontId="68" fillId="0" borderId="0" xfId="0" applyFont="1" applyAlignment="1">
      <alignment horizontal="left" vertical="center"/>
    </xf>
    <xf numFmtId="0" fontId="5" fillId="0" borderId="0" xfId="0" applyFont="1" applyAlignment="1">
      <alignment horizontal="left" vertical="center"/>
    </xf>
    <xf numFmtId="0" fontId="68" fillId="0" borderId="42" xfId="0" applyFont="1" applyBorder="1" applyAlignment="1">
      <alignment horizontal="center" vertical="center"/>
    </xf>
    <xf numFmtId="0" fontId="5" fillId="0" borderId="0" xfId="0" applyFont="1" applyAlignment="1">
      <alignment horizontal="center" vertical="center"/>
    </xf>
    <xf numFmtId="0" fontId="110" fillId="0" borderId="0" xfId="0" applyFont="1" applyAlignment="1">
      <alignment horizontal="center" vertical="center" wrapText="1"/>
    </xf>
    <xf numFmtId="0" fontId="1" fillId="0" borderId="76" xfId="0" applyFont="1" applyBorder="1" applyAlignment="1">
      <alignment horizontal="center" vertical="center"/>
    </xf>
    <xf numFmtId="0" fontId="68" fillId="0" borderId="0" xfId="0" applyFont="1" applyAlignment="1">
      <alignment horizontal="center" vertical="center"/>
    </xf>
    <xf numFmtId="0" fontId="5" fillId="0" borderId="0" xfId="0" applyFont="1" applyAlignment="1">
      <alignment horizontal="left" vertical="center" indent="1"/>
    </xf>
    <xf numFmtId="188" fontId="1" fillId="0" borderId="78" xfId="125" applyNumberFormat="1" applyFont="1" applyBorder="1" applyAlignment="1">
      <alignment horizontal="right" wrapText="1"/>
    </xf>
    <xf numFmtId="188" fontId="5" fillId="0" borderId="79" xfId="125" applyNumberFormat="1" applyFont="1" applyBorder="1" applyAlignment="1">
      <alignment horizontal="right" wrapText="1"/>
    </xf>
    <xf numFmtId="188" fontId="1" fillId="0" borderId="79" xfId="125" applyNumberFormat="1" applyFont="1" applyBorder="1" applyAlignment="1">
      <alignment horizontal="right" wrapText="1"/>
    </xf>
    <xf numFmtId="188" fontId="1" fillId="0" borderId="80" xfId="125" applyNumberFormat="1" applyFont="1" applyBorder="1" applyAlignment="1">
      <alignment horizontal="right" wrapText="1"/>
    </xf>
    <xf numFmtId="188" fontId="68" fillId="0" borderId="81" xfId="125" applyNumberFormat="1" applyFont="1" applyBorder="1" applyAlignment="1">
      <alignment horizontal="right" vertical="center" wrapText="1"/>
    </xf>
    <xf numFmtId="0" fontId="5" fillId="36" borderId="0" xfId="0" applyFont="1" applyFill="1"/>
    <xf numFmtId="183" fontId="110" fillId="36" borderId="0" xfId="0" applyNumberFormat="1" applyFont="1" applyFill="1" applyAlignment="1">
      <alignment horizontal="right" vertical="center" wrapText="1"/>
    </xf>
    <xf numFmtId="0" fontId="5" fillId="36" borderId="52" xfId="0" applyFont="1" applyFill="1" applyBorder="1" applyAlignment="1">
      <alignment horizontal="left" vertical="center"/>
    </xf>
    <xf numFmtId="0" fontId="5" fillId="36" borderId="52" xfId="0" applyFont="1" applyFill="1" applyBorder="1" applyAlignment="1">
      <alignment horizontal="left" vertical="center" indent="3"/>
    </xf>
    <xf numFmtId="0" fontId="110" fillId="36" borderId="0" xfId="0" applyFont="1" applyFill="1" applyAlignment="1">
      <alignment horizontal="left" vertical="center" wrapText="1"/>
    </xf>
    <xf numFmtId="0" fontId="3" fillId="0" borderId="0" xfId="0" applyFont="1"/>
    <xf numFmtId="0" fontId="5" fillId="36" borderId="0" xfId="0" applyFont="1" applyFill="1" applyAlignment="1">
      <alignment horizontal="left" vertical="center"/>
    </xf>
    <xf numFmtId="0" fontId="3" fillId="35" borderId="55" xfId="0" applyFont="1" applyFill="1" applyBorder="1" applyAlignment="1">
      <alignment vertical="center" wrapText="1"/>
    </xf>
    <xf numFmtId="0" fontId="3" fillId="36" borderId="40" xfId="0" applyFont="1" applyFill="1" applyBorder="1" applyAlignment="1">
      <alignment horizontal="left" vertical="center"/>
    </xf>
    <xf numFmtId="0" fontId="3" fillId="35" borderId="75" xfId="0" applyFont="1" applyFill="1" applyBorder="1" applyAlignment="1">
      <alignment vertical="center"/>
    </xf>
    <xf numFmtId="0" fontId="3" fillId="35" borderId="76" xfId="0" applyFont="1" applyFill="1" applyBorder="1" applyAlignment="1">
      <alignment vertical="center"/>
    </xf>
    <xf numFmtId="0" fontId="3" fillId="36" borderId="75" xfId="0" applyFont="1" applyFill="1" applyBorder="1" applyAlignment="1">
      <alignment horizontal="left" vertical="center"/>
    </xf>
    <xf numFmtId="0" fontId="111" fillId="0" borderId="0" xfId="0" applyFont="1" applyAlignment="1">
      <alignment wrapText="1"/>
    </xf>
    <xf numFmtId="0" fontId="0" fillId="0" borderId="0" xfId="0" applyAlignment="1">
      <alignment wrapText="1"/>
    </xf>
    <xf numFmtId="0" fontId="111" fillId="35" borderId="44" xfId="0" applyFont="1" applyFill="1" applyBorder="1" applyAlignment="1">
      <alignment wrapText="1"/>
    </xf>
    <xf numFmtId="0" fontId="0" fillId="35" borderId="44" xfId="0" applyFill="1" applyBorder="1" applyAlignment="1">
      <alignment wrapText="1"/>
    </xf>
    <xf numFmtId="0" fontId="3" fillId="0" borderId="74" xfId="0" applyFont="1" applyBorder="1" applyAlignment="1">
      <alignment vertical="center" wrapText="1"/>
    </xf>
    <xf numFmtId="0" fontId="111" fillId="0" borderId="47" xfId="0" applyFont="1" applyBorder="1" applyAlignment="1">
      <alignment wrapText="1"/>
    </xf>
    <xf numFmtId="0" fontId="79" fillId="0" borderId="44" xfId="0" applyFont="1" applyBorder="1" applyAlignment="1">
      <alignment wrapText="1"/>
    </xf>
    <xf numFmtId="188" fontId="68" fillId="0" borderId="44" xfId="0" applyNumberFormat="1" applyFont="1" applyBorder="1" applyAlignment="1">
      <alignment vertical="center"/>
    </xf>
    <xf numFmtId="188" fontId="1" fillId="0" borderId="47" xfId="129" applyNumberFormat="1" applyFont="1" applyBorder="1" applyAlignment="1">
      <alignment vertical="center"/>
    </xf>
    <xf numFmtId="188" fontId="80" fillId="35" borderId="0" xfId="0" applyNumberFormat="1" applyFont="1" applyFill="1" applyAlignment="1">
      <alignment horizontal="right" vertical="center"/>
    </xf>
    <xf numFmtId="188" fontId="80" fillId="35" borderId="42" xfId="0" applyNumberFormat="1" applyFont="1" applyFill="1" applyBorder="1" applyAlignment="1">
      <alignment horizontal="right" vertical="center"/>
    </xf>
    <xf numFmtId="188" fontId="80" fillId="35" borderId="46" xfId="0" applyNumberFormat="1" applyFont="1" applyFill="1" applyBorder="1" applyAlignment="1">
      <alignment horizontal="right" vertical="center"/>
    </xf>
    <xf numFmtId="188" fontId="89" fillId="35" borderId="0" xfId="0" applyNumberFormat="1" applyFont="1" applyFill="1" applyAlignment="1">
      <alignment horizontal="right" vertical="center"/>
    </xf>
    <xf numFmtId="188" fontId="90" fillId="35" borderId="0" xfId="0" applyNumberFormat="1" applyFont="1" applyFill="1" applyAlignment="1">
      <alignment horizontal="right" vertical="center"/>
    </xf>
    <xf numFmtId="188" fontId="91" fillId="35" borderId="0" xfId="0" applyNumberFormat="1" applyFont="1" applyFill="1" applyAlignment="1">
      <alignment horizontal="right" vertical="center"/>
    </xf>
    <xf numFmtId="0" fontId="5" fillId="36" borderId="52" xfId="0" applyFont="1" applyFill="1" applyBorder="1" applyAlignment="1">
      <alignment horizontal="left" vertical="center" indent="1"/>
    </xf>
    <xf numFmtId="0" fontId="75" fillId="36" borderId="52" xfId="0" applyFont="1" applyFill="1" applyBorder="1" applyAlignment="1">
      <alignment horizontal="left" vertical="center"/>
    </xf>
    <xf numFmtId="188" fontId="97" fillId="36" borderId="0" xfId="0" applyNumberFormat="1" applyFont="1" applyFill="1" applyAlignment="1">
      <alignment horizontal="right" vertical="center" wrapText="1"/>
    </xf>
    <xf numFmtId="183" fontId="5" fillId="0" borderId="0" xfId="0" applyNumberFormat="1" applyFont="1" applyAlignment="1">
      <alignment horizontal="right" vertical="center" wrapText="1"/>
    </xf>
    <xf numFmtId="183" fontId="5" fillId="36" borderId="0" xfId="0" applyNumberFormat="1" applyFont="1" applyFill="1" applyAlignment="1">
      <alignment horizontal="right" vertical="center" wrapText="1"/>
    </xf>
    <xf numFmtId="0" fontId="64" fillId="35" borderId="44" xfId="0" applyFont="1" applyFill="1" applyBorder="1" applyAlignment="1">
      <alignment vertical="center" wrapText="1"/>
    </xf>
    <xf numFmtId="0" fontId="64" fillId="0" borderId="47" xfId="0" applyFont="1" applyBorder="1" applyAlignment="1">
      <alignment vertical="center" wrapText="1"/>
    </xf>
    <xf numFmtId="189" fontId="5" fillId="36" borderId="0" xfId="0" applyNumberFormat="1" applyFont="1" applyFill="1" applyAlignment="1">
      <alignment horizontal="right" vertical="center" wrapText="1"/>
    </xf>
    <xf numFmtId="0" fontId="64" fillId="35" borderId="44" xfId="0" applyFont="1" applyFill="1" applyBorder="1" applyAlignment="1">
      <alignment wrapText="1"/>
    </xf>
    <xf numFmtId="0" fontId="64" fillId="0" borderId="47" xfId="0" applyFont="1" applyBorder="1" applyAlignment="1">
      <alignment wrapText="1"/>
    </xf>
    <xf numFmtId="0" fontId="64" fillId="0" borderId="44" xfId="0" applyFont="1" applyBorder="1" applyAlignment="1">
      <alignment wrapText="1"/>
    </xf>
    <xf numFmtId="188" fontId="1" fillId="36" borderId="0" xfId="0" applyNumberFormat="1" applyFont="1" applyFill="1" applyAlignment="1">
      <alignment horizontal="right" vertical="center" wrapText="1"/>
    </xf>
    <xf numFmtId="183" fontId="1" fillId="36" borderId="0" xfId="0" applyNumberFormat="1" applyFont="1" applyFill="1" applyAlignment="1">
      <alignment horizontal="right" vertical="center" wrapText="1"/>
    </xf>
    <xf numFmtId="194" fontId="68" fillId="36" borderId="76" xfId="0" applyNumberFormat="1" applyFont="1" applyFill="1" applyBorder="1" applyAlignment="1">
      <alignment horizontal="right" vertical="center" wrapText="1"/>
    </xf>
    <xf numFmtId="194" fontId="5" fillId="36" borderId="0" xfId="0" applyNumberFormat="1" applyFont="1" applyFill="1" applyAlignment="1">
      <alignment horizontal="right" vertical="center" wrapText="1"/>
    </xf>
    <xf numFmtId="188" fontId="1" fillId="36" borderId="35" xfId="0" applyNumberFormat="1" applyFont="1" applyFill="1" applyBorder="1" applyAlignment="1">
      <alignment horizontal="right" vertical="center" wrapText="1"/>
    </xf>
    <xf numFmtId="183" fontId="115" fillId="0" borderId="0" xfId="0" applyNumberFormat="1" applyFont="1" applyAlignment="1">
      <alignment horizontal="right" vertical="center" wrapText="1"/>
    </xf>
    <xf numFmtId="183" fontId="115" fillId="35" borderId="0" xfId="0" applyNumberFormat="1" applyFont="1" applyFill="1" applyAlignment="1">
      <alignment horizontal="right" vertical="center" wrapText="1"/>
    </xf>
    <xf numFmtId="183" fontId="1" fillId="0" borderId="0" xfId="0" applyNumberFormat="1" applyFont="1" applyAlignment="1">
      <alignment horizontal="right" vertical="center" wrapText="1"/>
    </xf>
    <xf numFmtId="183" fontId="1" fillId="35" borderId="0" xfId="0" applyNumberFormat="1" applyFont="1" applyFill="1" applyAlignment="1">
      <alignment horizontal="right" vertical="center" wrapText="1"/>
    </xf>
    <xf numFmtId="183" fontId="68" fillId="0" borderId="0" xfId="0" applyNumberFormat="1" applyFont="1" applyAlignment="1">
      <alignment horizontal="right" vertical="center" wrapText="1"/>
    </xf>
    <xf numFmtId="183" fontId="68" fillId="35" borderId="0" xfId="0" applyNumberFormat="1" applyFont="1" applyFill="1" applyAlignment="1">
      <alignment horizontal="right" vertical="center" wrapText="1"/>
    </xf>
    <xf numFmtId="183" fontId="5" fillId="35" borderId="0" xfId="0" applyNumberFormat="1" applyFont="1" applyFill="1" applyAlignment="1">
      <alignment horizontal="right" vertical="center" wrapText="1"/>
    </xf>
    <xf numFmtId="183" fontId="2" fillId="0" borderId="0" xfId="0" applyNumberFormat="1" applyFont="1"/>
    <xf numFmtId="195" fontId="69" fillId="0" borderId="0" xfId="126" applyNumberFormat="1"/>
    <xf numFmtId="196" fontId="1" fillId="0" borderId="0" xfId="0" applyNumberFormat="1" applyFont="1"/>
    <xf numFmtId="184" fontId="97" fillId="0" borderId="57" xfId="0" applyNumberFormat="1" applyFont="1" applyBorder="1" applyAlignment="1">
      <alignment horizontal="right" vertical="center" wrapText="1"/>
    </xf>
    <xf numFmtId="184" fontId="97" fillId="35" borderId="57" xfId="0" applyNumberFormat="1" applyFont="1" applyFill="1" applyBorder="1" applyAlignment="1">
      <alignment horizontal="right" vertical="center" wrapText="1"/>
    </xf>
    <xf numFmtId="194" fontId="80" fillId="0" borderId="0" xfId="129" applyNumberFormat="1" applyFont="1" applyAlignment="1">
      <alignment vertical="center"/>
    </xf>
    <xf numFmtId="184" fontId="1" fillId="0" borderId="57" xfId="0" applyNumberFormat="1" applyFont="1" applyBorder="1" applyAlignment="1">
      <alignment horizontal="right" vertical="center"/>
    </xf>
    <xf numFmtId="184" fontId="1" fillId="35" borderId="57" xfId="0" applyNumberFormat="1" applyFont="1" applyFill="1" applyBorder="1" applyAlignment="1">
      <alignment horizontal="right" vertical="center"/>
    </xf>
    <xf numFmtId="184" fontId="1" fillId="0" borderId="57" xfId="0" applyNumberFormat="1" applyFont="1" applyBorder="1" applyAlignment="1">
      <alignment horizontal="right" vertical="center" wrapText="1"/>
    </xf>
    <xf numFmtId="184" fontId="1" fillId="35" borderId="57" xfId="0" applyNumberFormat="1" applyFont="1" applyFill="1" applyBorder="1" applyAlignment="1">
      <alignment horizontal="right" vertical="center" wrapText="1"/>
    </xf>
    <xf numFmtId="188" fontId="1" fillId="0" borderId="38" xfId="0" applyNumberFormat="1" applyFont="1" applyBorder="1" applyAlignment="1">
      <alignment horizontal="right" vertical="center" wrapText="1"/>
    </xf>
    <xf numFmtId="1" fontId="1" fillId="35" borderId="0" xfId="0" applyNumberFormat="1" applyFont="1" applyFill="1" applyAlignment="1">
      <alignment horizontal="right" vertical="center" wrapText="1"/>
    </xf>
    <xf numFmtId="3" fontId="1" fillId="35" borderId="0" xfId="0" applyNumberFormat="1" applyFont="1" applyFill="1" applyAlignment="1">
      <alignment horizontal="right" vertical="center" wrapText="1"/>
    </xf>
    <xf numFmtId="188" fontId="1" fillId="35" borderId="35" xfId="0" applyNumberFormat="1" applyFont="1" applyFill="1" applyBorder="1" applyAlignment="1">
      <alignment horizontal="right" vertical="center" wrapText="1"/>
    </xf>
    <xf numFmtId="188" fontId="1" fillId="35" borderId="44" xfId="0" applyNumberFormat="1" applyFont="1" applyFill="1" applyBorder="1" applyAlignment="1">
      <alignment horizontal="right" vertical="center" wrapText="1"/>
    </xf>
    <xf numFmtId="0" fontId="3" fillId="35" borderId="76" xfId="0" applyFont="1" applyFill="1" applyBorder="1" applyAlignment="1">
      <alignment horizontal="right" vertical="center"/>
    </xf>
    <xf numFmtId="0" fontId="3" fillId="35" borderId="44" xfId="0" applyFont="1" applyFill="1" applyBorder="1" applyAlignment="1">
      <alignment vertical="center" wrapText="1"/>
    </xf>
    <xf numFmtId="190" fontId="64" fillId="0" borderId="0" xfId="133" applyNumberFormat="1" applyAlignment="1">
      <alignment vertical="center" wrapText="1"/>
    </xf>
    <xf numFmtId="190" fontId="64" fillId="0" borderId="0" xfId="133" applyNumberFormat="1" applyAlignment="1">
      <alignment horizontal="right" vertical="center" wrapText="1"/>
    </xf>
    <xf numFmtId="190" fontId="64" fillId="0" borderId="18" xfId="133" applyNumberFormat="1" applyBorder="1" applyAlignment="1">
      <alignment horizontal="right" vertical="center" wrapText="1"/>
    </xf>
    <xf numFmtId="190" fontId="118" fillId="0" borderId="18" xfId="133" applyNumberFormat="1" applyFont="1" applyBorder="1" applyAlignment="1">
      <alignment vertical="center" wrapText="1"/>
    </xf>
    <xf numFmtId="190" fontId="118" fillId="36" borderId="18" xfId="133" applyNumberFormat="1" applyFont="1" applyFill="1" applyBorder="1" applyAlignment="1">
      <alignment vertical="center" wrapText="1"/>
    </xf>
    <xf numFmtId="190" fontId="118" fillId="35" borderId="18" xfId="133" applyNumberFormat="1" applyFont="1" applyFill="1" applyBorder="1" applyAlignment="1">
      <alignment vertical="center" wrapText="1"/>
    </xf>
    <xf numFmtId="191" fontId="118" fillId="0" borderId="26" xfId="133" applyNumberFormat="1" applyFont="1" applyBorder="1" applyAlignment="1">
      <alignment horizontal="right" vertical="center" wrapText="1"/>
    </xf>
    <xf numFmtId="191" fontId="118" fillId="35" borderId="26" xfId="133" applyNumberFormat="1" applyFont="1" applyFill="1" applyBorder="1" applyAlignment="1">
      <alignment horizontal="right" vertical="center" wrapText="1"/>
    </xf>
    <xf numFmtId="191" fontId="118" fillId="0" borderId="22" xfId="133" applyNumberFormat="1" applyFont="1" applyBorder="1" applyAlignment="1">
      <alignment horizontal="right" vertical="center" wrapText="1"/>
    </xf>
    <xf numFmtId="191" fontId="118" fillId="35" borderId="22" xfId="133" applyNumberFormat="1" applyFont="1" applyFill="1" applyBorder="1" applyAlignment="1">
      <alignment horizontal="right" vertical="center" wrapText="1"/>
    </xf>
    <xf numFmtId="191" fontId="118" fillId="0" borderId="27" xfId="133" applyNumberFormat="1" applyFont="1" applyBorder="1" applyAlignment="1">
      <alignment horizontal="right" vertical="center" wrapText="1"/>
    </xf>
    <xf numFmtId="191" fontId="118" fillId="35" borderId="27" xfId="133" applyNumberFormat="1" applyFont="1" applyFill="1" applyBorder="1" applyAlignment="1">
      <alignment horizontal="right" vertical="center" wrapText="1"/>
    </xf>
    <xf numFmtId="192" fontId="118" fillId="0" borderId="0" xfId="133" applyNumberFormat="1" applyFont="1" applyAlignment="1">
      <alignment horizontal="right" vertical="center" wrapText="1"/>
    </xf>
    <xf numFmtId="192" fontId="118" fillId="35" borderId="0" xfId="133" applyNumberFormat="1" applyFont="1" applyFill="1" applyAlignment="1">
      <alignment horizontal="right" vertical="center" wrapText="1"/>
    </xf>
    <xf numFmtId="2" fontId="118" fillId="0" borderId="0" xfId="133" applyNumberFormat="1" applyFont="1" applyAlignment="1">
      <alignment horizontal="right" vertical="center" wrapText="1"/>
    </xf>
    <xf numFmtId="192" fontId="118" fillId="35" borderId="22" xfId="133" applyNumberFormat="1" applyFont="1" applyFill="1" applyBorder="1" applyAlignment="1">
      <alignment horizontal="right" vertical="center" wrapText="1"/>
    </xf>
    <xf numFmtId="192" fontId="118" fillId="36" borderId="32" xfId="133" applyNumberFormat="1" applyFont="1" applyFill="1" applyBorder="1" applyAlignment="1">
      <alignment horizontal="right" vertical="center" wrapText="1"/>
    </xf>
    <xf numFmtId="193" fontId="118" fillId="36" borderId="32" xfId="133" applyNumberFormat="1" applyFont="1" applyFill="1" applyBorder="1" applyAlignment="1">
      <alignment horizontal="right" vertical="center" wrapText="1"/>
    </xf>
    <xf numFmtId="192" fontId="118" fillId="35" borderId="32" xfId="133" applyNumberFormat="1" applyFont="1" applyFill="1" applyBorder="1" applyAlignment="1">
      <alignment horizontal="right" vertical="center" wrapText="1"/>
    </xf>
    <xf numFmtId="0" fontId="95" fillId="26" borderId="0" xfId="127" applyFill="1"/>
    <xf numFmtId="0" fontId="95" fillId="0" borderId="0" xfId="127" applyAlignment="1">
      <alignment horizontal="left"/>
    </xf>
    <xf numFmtId="0" fontId="120" fillId="0" borderId="0" xfId="202" applyFont="1" applyAlignment="1">
      <alignment horizontal="left"/>
    </xf>
    <xf numFmtId="0" fontId="95" fillId="42" borderId="0" xfId="127" applyFill="1"/>
    <xf numFmtId="0" fontId="95" fillId="0" borderId="0" xfId="127" applyAlignment="1">
      <alignment wrapText="1"/>
    </xf>
    <xf numFmtId="0" fontId="1" fillId="36" borderId="0" xfId="0" applyFont="1" applyFill="1" applyAlignment="1" applyProtection="1">
      <alignment horizontal="left" vertical="center" wrapText="1"/>
      <protection locked="0"/>
    </xf>
    <xf numFmtId="0" fontId="75" fillId="0" borderId="0" xfId="0" applyFont="1"/>
    <xf numFmtId="0" fontId="1" fillId="36" borderId="0" xfId="0" applyFont="1" applyFill="1" applyAlignment="1" applyProtection="1">
      <alignment horizontal="left" vertical="center"/>
      <protection locked="0"/>
    </xf>
    <xf numFmtId="0" fontId="15" fillId="2" borderId="0" xfId="0"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21" fillId="0" borderId="0" xfId="0" applyFont="1"/>
    <xf numFmtId="0" fontId="122" fillId="0" borderId="0" xfId="127" applyFont="1"/>
    <xf numFmtId="0" fontId="122" fillId="0" borderId="0" xfId="127" applyFont="1" applyAlignment="1">
      <alignment wrapText="1"/>
    </xf>
    <xf numFmtId="0" fontId="122" fillId="0" borderId="0" xfId="127" quotePrefix="1" applyFont="1"/>
    <xf numFmtId="0" fontId="123" fillId="0" borderId="0" xfId="127" applyFont="1" applyAlignment="1">
      <alignment vertical="center"/>
    </xf>
    <xf numFmtId="0" fontId="124" fillId="0" borderId="0" xfId="127" applyFont="1" applyAlignment="1">
      <alignment vertical="center" wrapText="1"/>
    </xf>
    <xf numFmtId="0" fontId="124" fillId="0" borderId="0" xfId="127" applyFont="1" applyAlignment="1">
      <alignment vertical="center"/>
    </xf>
    <xf numFmtId="0" fontId="125" fillId="0" borderId="0" xfId="127" applyFont="1"/>
    <xf numFmtId="0" fontId="125" fillId="0" borderId="0" xfId="127" applyFont="1" applyAlignment="1">
      <alignment wrapText="1"/>
    </xf>
    <xf numFmtId="0" fontId="125" fillId="35" borderId="0" xfId="127" applyFont="1" applyFill="1" applyAlignment="1">
      <alignment wrapText="1"/>
    </xf>
    <xf numFmtId="0" fontId="126" fillId="0" borderId="0" xfId="127" applyFont="1"/>
    <xf numFmtId="0" fontId="79" fillId="0" borderId="0" xfId="0" applyFont="1"/>
    <xf numFmtId="0" fontId="122" fillId="43" borderId="0" xfId="127" applyFont="1" applyFill="1"/>
    <xf numFmtId="183" fontId="75" fillId="0" borderId="0" xfId="0" applyNumberFormat="1" applyFont="1"/>
    <xf numFmtId="0" fontId="95" fillId="0" borderId="0" xfId="127" applyAlignment="1">
      <alignment horizontal="center"/>
    </xf>
    <xf numFmtId="0" fontId="128" fillId="0" borderId="0" xfId="127" applyFont="1"/>
    <xf numFmtId="190" fontId="129" fillId="0" borderId="0" xfId="126" applyNumberFormat="1" applyFont="1"/>
    <xf numFmtId="0" fontId="129" fillId="0" borderId="0" xfId="126" applyFont="1" applyAlignment="1">
      <alignment wrapText="1"/>
    </xf>
    <xf numFmtId="0" fontId="129" fillId="0" borderId="0" xfId="126" applyFont="1"/>
    <xf numFmtId="0" fontId="1" fillId="0" borderId="0" xfId="124" applyFont="1" applyAlignment="1">
      <alignment horizontal="right"/>
    </xf>
    <xf numFmtId="3" fontId="11" fillId="0" borderId="19" xfId="124" applyNumberFormat="1" applyFont="1" applyBorder="1" applyAlignment="1">
      <alignment horizontal="center" vertical="center" wrapText="1"/>
    </xf>
    <xf numFmtId="0" fontId="3" fillId="35" borderId="0" xfId="124" applyFont="1" applyFill="1" applyAlignment="1">
      <alignment horizontal="right" vertical="center" wrapText="1"/>
    </xf>
    <xf numFmtId="188" fontId="3" fillId="35" borderId="46" xfId="124" applyNumberFormat="1" applyFont="1" applyFill="1" applyBorder="1" applyAlignment="1">
      <alignment horizontal="right" vertical="center"/>
    </xf>
    <xf numFmtId="188" fontId="1" fillId="35" borderId="0" xfId="124" applyNumberFormat="1" applyFont="1" applyFill="1" applyAlignment="1">
      <alignment horizontal="right" vertical="center"/>
    </xf>
    <xf numFmtId="188" fontId="5" fillId="35" borderId="0" xfId="124" applyNumberFormat="1" applyFont="1" applyFill="1" applyAlignment="1">
      <alignment horizontal="right" vertical="center"/>
    </xf>
    <xf numFmtId="188" fontId="1" fillId="35" borderId="46" xfId="124" applyNumberFormat="1" applyFont="1" applyFill="1" applyBorder="1" applyAlignment="1">
      <alignment horizontal="right" vertical="center"/>
    </xf>
    <xf numFmtId="188" fontId="3" fillId="35" borderId="44" xfId="124" applyNumberFormat="1" applyFont="1" applyFill="1" applyBorder="1" applyAlignment="1">
      <alignment horizontal="right" vertical="center"/>
    </xf>
    <xf numFmtId="188" fontId="3" fillId="35" borderId="0" xfId="124" applyNumberFormat="1" applyFont="1" applyFill="1" applyAlignment="1">
      <alignment horizontal="right" vertical="center"/>
    </xf>
    <xf numFmtId="188" fontId="67" fillId="35" borderId="0" xfId="124" applyNumberFormat="1" applyFont="1" applyFill="1" applyAlignment="1">
      <alignment horizontal="right" vertical="center"/>
    </xf>
    <xf numFmtId="188" fontId="65" fillId="35" borderId="0" xfId="124" applyNumberFormat="1" applyFont="1" applyFill="1" applyAlignment="1">
      <alignment horizontal="right" vertical="center"/>
    </xf>
    <xf numFmtId="188" fontId="5" fillId="0" borderId="0" xfId="124" applyNumberFormat="1" applyFont="1" applyAlignment="1">
      <alignment horizontal="right" vertical="center"/>
    </xf>
    <xf numFmtId="188" fontId="1" fillId="0" borderId="0" xfId="124" applyNumberFormat="1" applyFont="1" applyAlignment="1">
      <alignment horizontal="right"/>
    </xf>
    <xf numFmtId="3" fontId="1" fillId="0" borderId="0" xfId="124" applyNumberFormat="1" applyFont="1" applyAlignment="1">
      <alignment horizontal="right"/>
    </xf>
    <xf numFmtId="0" fontId="1" fillId="0" borderId="0" xfId="124" applyFont="1" applyAlignment="1">
      <alignment horizontal="right" vertical="center"/>
    </xf>
    <xf numFmtId="0" fontId="101" fillId="36" borderId="0" xfId="127" applyFont="1" applyFill="1"/>
    <xf numFmtId="0" fontId="95" fillId="36" borderId="0" xfId="127" applyFill="1"/>
    <xf numFmtId="0" fontId="1" fillId="36" borderId="0" xfId="0" applyFont="1" applyFill="1" applyAlignment="1">
      <alignment vertical="center"/>
    </xf>
    <xf numFmtId="0" fontId="79" fillId="36" borderId="0" xfId="0" applyFont="1" applyFill="1" applyAlignment="1">
      <alignment vertical="center"/>
    </xf>
    <xf numFmtId="3" fontId="11" fillId="36" borderId="19" xfId="0" applyNumberFormat="1" applyFont="1" applyFill="1" applyBorder="1" applyAlignment="1">
      <alignment horizontal="center" vertical="center" wrapText="1"/>
    </xf>
    <xf numFmtId="3" fontId="11" fillId="36" borderId="0" xfId="0" applyNumberFormat="1" applyFont="1" applyFill="1" applyAlignment="1">
      <alignment horizontal="center" vertical="center" wrapText="1"/>
    </xf>
    <xf numFmtId="188" fontId="1" fillId="36" borderId="0" xfId="129" applyNumberFormat="1" applyFont="1" applyFill="1" applyAlignment="1">
      <alignment vertical="center"/>
    </xf>
    <xf numFmtId="3" fontId="1" fillId="36" borderId="0" xfId="0" applyNumberFormat="1" applyFont="1" applyFill="1" applyAlignment="1">
      <alignment vertical="center"/>
    </xf>
    <xf numFmtId="0" fontId="0" fillId="36" borderId="0" xfId="0" applyFill="1"/>
    <xf numFmtId="0" fontId="79" fillId="36" borderId="0" xfId="0" applyFont="1" applyFill="1"/>
    <xf numFmtId="0" fontId="1" fillId="36" borderId="0" xfId="0" applyFont="1" applyFill="1"/>
    <xf numFmtId="183" fontId="0" fillId="36" borderId="0" xfId="0" applyNumberFormat="1" applyFill="1"/>
    <xf numFmtId="0" fontId="1" fillId="36" borderId="52" xfId="0" applyFont="1" applyFill="1" applyBorder="1" applyAlignment="1">
      <alignment horizontal="left" vertical="center"/>
    </xf>
    <xf numFmtId="0" fontId="68" fillId="36" borderId="55" xfId="0" applyFont="1" applyFill="1" applyBorder="1" applyAlignment="1">
      <alignment horizontal="left" vertical="center"/>
    </xf>
    <xf numFmtId="188" fontId="97" fillId="36" borderId="44" xfId="0" applyNumberFormat="1" applyFont="1" applyFill="1" applyBorder="1" applyAlignment="1">
      <alignment horizontal="right" vertical="center" wrapText="1"/>
    </xf>
    <xf numFmtId="0" fontId="1" fillId="36" borderId="43" xfId="0" applyFont="1" applyFill="1" applyBorder="1" applyAlignment="1">
      <alignment horizontal="left" vertical="center"/>
    </xf>
    <xf numFmtId="0" fontId="97" fillId="36" borderId="0" xfId="0" applyFont="1" applyFill="1" applyAlignment="1">
      <alignment horizontal="right" vertical="center"/>
    </xf>
    <xf numFmtId="0" fontId="12" fillId="36" borderId="0" xfId="0" applyFont="1" applyFill="1"/>
    <xf numFmtId="0" fontId="11" fillId="36" borderId="53" xfId="0" applyFont="1" applyFill="1" applyBorder="1" applyAlignment="1">
      <alignment horizontal="center" vertical="center"/>
    </xf>
    <xf numFmtId="0" fontId="11" fillId="36" borderId="37" xfId="0" applyFont="1" applyFill="1" applyBorder="1" applyAlignment="1">
      <alignment horizontal="center" vertical="center" wrapText="1"/>
    </xf>
    <xf numFmtId="0" fontId="68" fillId="36" borderId="0" xfId="0" applyFont="1" applyFill="1"/>
    <xf numFmtId="0" fontId="68" fillId="36" borderId="44" xfId="0" applyFont="1" applyFill="1" applyBorder="1" applyAlignment="1">
      <alignment horizontal="left" vertical="center"/>
    </xf>
    <xf numFmtId="194" fontId="114" fillId="36" borderId="44" xfId="0" applyNumberFormat="1" applyFont="1" applyFill="1" applyBorder="1" applyAlignment="1">
      <alignment horizontal="right" vertical="center" wrapText="1"/>
    </xf>
    <xf numFmtId="0" fontId="68" fillId="36" borderId="44" xfId="0" applyFont="1" applyFill="1" applyBorder="1" applyAlignment="1">
      <alignment horizontal="center" vertical="center"/>
    </xf>
    <xf numFmtId="0" fontId="1" fillId="36" borderId="0" xfId="0" applyFont="1" applyFill="1" applyAlignment="1">
      <alignment horizontal="left" vertical="center"/>
    </xf>
    <xf numFmtId="0" fontId="11" fillId="36" borderId="37" xfId="0" applyFont="1" applyFill="1" applyBorder="1" applyAlignment="1">
      <alignment horizontal="center" vertical="center"/>
    </xf>
    <xf numFmtId="0" fontId="64" fillId="0" borderId="0" xfId="0" applyFont="1" applyAlignment="1">
      <alignment horizontal="left"/>
    </xf>
    <xf numFmtId="0" fontId="99" fillId="0" borderId="0" xfId="128" applyFont="1" applyAlignment="1">
      <alignment horizontal="center"/>
    </xf>
    <xf numFmtId="185" fontId="1" fillId="0" borderId="0" xfId="0" quotePrefix="1" applyNumberFormat="1" applyFont="1" applyAlignment="1" applyProtection="1">
      <alignment horizontal="right" vertical="center" wrapText="1"/>
      <protection locked="0"/>
    </xf>
    <xf numFmtId="188" fontId="99" fillId="0" borderId="0" xfId="128" applyNumberFormat="1" applyFont="1" applyAlignment="1">
      <alignment horizontal="center"/>
    </xf>
    <xf numFmtId="3" fontId="69" fillId="0" borderId="0" xfId="126" applyNumberFormat="1"/>
    <xf numFmtId="3" fontId="1" fillId="0" borderId="0" xfId="0" applyNumberFormat="1" applyFont="1"/>
    <xf numFmtId="190" fontId="102" fillId="40" borderId="0" xfId="0" applyNumberFormat="1" applyFont="1" applyFill="1"/>
    <xf numFmtId="189" fontId="5" fillId="0" borderId="0" xfId="131" applyNumberFormat="1" applyFont="1" applyAlignment="1" applyProtection="1">
      <alignment horizontal="right" vertical="center"/>
      <protection locked="0"/>
    </xf>
    <xf numFmtId="189" fontId="5" fillId="35" borderId="0" xfId="131" applyNumberFormat="1" applyFont="1" applyFill="1" applyAlignment="1" applyProtection="1">
      <alignment horizontal="right" vertical="center"/>
      <protection locked="0"/>
    </xf>
    <xf numFmtId="189" fontId="5" fillId="0" borderId="35" xfId="131" applyNumberFormat="1" applyFont="1" applyBorder="1" applyAlignment="1" applyProtection="1">
      <alignment horizontal="right" vertical="center"/>
      <protection locked="0"/>
    </xf>
    <xf numFmtId="189" fontId="5" fillId="35" borderId="35" xfId="131" applyNumberFormat="1" applyFont="1" applyFill="1" applyBorder="1" applyAlignment="1" applyProtection="1">
      <alignment horizontal="right" vertical="center"/>
      <protection locked="0"/>
    </xf>
    <xf numFmtId="0" fontId="125" fillId="40" borderId="0" xfId="127" applyFont="1" applyFill="1" applyAlignment="1">
      <alignment wrapText="1"/>
    </xf>
    <xf numFmtId="2" fontId="1" fillId="34" borderId="82" xfId="0" applyNumberFormat="1" applyFont="1" applyFill="1" applyBorder="1"/>
    <xf numFmtId="2" fontId="1" fillId="34" borderId="83" xfId="0" applyNumberFormat="1" applyFont="1" applyFill="1" applyBorder="1"/>
    <xf numFmtId="2" fontId="1" fillId="34" borderId="84" xfId="0" applyNumberFormat="1" applyFont="1" applyFill="1" applyBorder="1" applyAlignment="1">
      <alignment horizontal="right"/>
    </xf>
    <xf numFmtId="2" fontId="1" fillId="34" borderId="83" xfId="0" applyNumberFormat="1" applyFont="1" applyFill="1" applyBorder="1" applyAlignment="1">
      <alignment horizontal="right"/>
    </xf>
    <xf numFmtId="2" fontId="1" fillId="34" borderId="85" xfId="0" applyNumberFormat="1" applyFont="1" applyFill="1" applyBorder="1" applyAlignment="1">
      <alignment horizontal="right"/>
    </xf>
    <xf numFmtId="0" fontId="1" fillId="34" borderId="83" xfId="0" applyFont="1" applyFill="1" applyBorder="1" applyAlignment="1">
      <alignment horizontal="right"/>
    </xf>
    <xf numFmtId="183" fontId="1" fillId="34" borderId="85" xfId="0" applyNumberFormat="1" applyFont="1" applyFill="1" applyBorder="1" applyAlignment="1">
      <alignment horizontal="right"/>
    </xf>
    <xf numFmtId="183" fontId="1" fillId="34" borderId="84" xfId="0" applyNumberFormat="1" applyFont="1" applyFill="1" applyBorder="1" applyAlignment="1">
      <alignment horizontal="right"/>
    </xf>
    <xf numFmtId="0" fontId="75" fillId="36" borderId="0" xfId="0" applyFont="1" applyFill="1" applyAlignment="1">
      <alignment horizontal="left" vertical="center"/>
    </xf>
    <xf numFmtId="0" fontId="64" fillId="0" borderId="86" xfId="0" applyFont="1" applyBorder="1" applyAlignment="1">
      <alignment vertical="center" wrapText="1"/>
    </xf>
    <xf numFmtId="194" fontId="68" fillId="36" borderId="87" xfId="0" applyNumberFormat="1" applyFont="1" applyFill="1" applyBorder="1" applyAlignment="1">
      <alignment horizontal="right" vertical="center" wrapText="1"/>
    </xf>
    <xf numFmtId="184" fontId="68" fillId="36" borderId="88" xfId="0" applyNumberFormat="1" applyFont="1" applyFill="1" applyBorder="1" applyAlignment="1">
      <alignment horizontal="right" vertical="center"/>
    </xf>
    <xf numFmtId="184" fontId="68" fillId="36" borderId="52" xfId="0" applyNumberFormat="1" applyFont="1" applyFill="1" applyBorder="1" applyAlignment="1">
      <alignment horizontal="right" vertical="center"/>
    </xf>
    <xf numFmtId="0" fontId="64" fillId="35" borderId="47" xfId="0" applyFont="1" applyFill="1" applyBorder="1" applyAlignment="1">
      <alignment vertical="center" wrapText="1"/>
    </xf>
    <xf numFmtId="194" fontId="68" fillId="35" borderId="76" xfId="0" applyNumberFormat="1" applyFont="1" applyFill="1" applyBorder="1" applyAlignment="1">
      <alignment horizontal="right" vertical="center" wrapText="1"/>
    </xf>
    <xf numFmtId="0" fontId="64" fillId="35" borderId="47" xfId="0" applyFont="1" applyFill="1" applyBorder="1" applyAlignment="1">
      <alignment wrapText="1"/>
    </xf>
    <xf numFmtId="0" fontId="5" fillId="35" borderId="0" xfId="0" applyFont="1" applyFill="1"/>
    <xf numFmtId="194" fontId="5" fillId="35" borderId="0" xfId="0" applyNumberFormat="1" applyFont="1" applyFill="1" applyAlignment="1">
      <alignment horizontal="right" vertical="center" wrapText="1"/>
    </xf>
    <xf numFmtId="0" fontId="75" fillId="35" borderId="52" xfId="0" applyFont="1" applyFill="1" applyBorder="1" applyAlignment="1">
      <alignment horizontal="left" vertical="center"/>
    </xf>
    <xf numFmtId="0" fontId="130" fillId="0" borderId="0" xfId="127" applyFont="1" applyAlignment="1">
      <alignment wrapText="1"/>
    </xf>
    <xf numFmtId="0" fontId="131" fillId="0" borderId="0" xfId="127" applyFont="1"/>
    <xf numFmtId="0" fontId="12" fillId="0" borderId="0" xfId="0" applyFont="1" applyAlignment="1">
      <alignment horizontal="left" vertical="center"/>
    </xf>
    <xf numFmtId="0" fontId="68" fillId="2" borderId="0" xfId="124" applyFont="1" applyFill="1" applyAlignment="1">
      <alignment horizontal="left" wrapText="1"/>
    </xf>
    <xf numFmtId="188" fontId="68" fillId="0" borderId="0" xfId="125" applyNumberFormat="1" applyFont="1" applyAlignment="1">
      <alignment horizontal="right" wrapText="1"/>
    </xf>
    <xf numFmtId="0" fontId="68" fillId="0" borderId="25" xfId="134" applyFont="1" applyBorder="1" applyAlignment="1">
      <alignment vertical="center"/>
    </xf>
    <xf numFmtId="0" fontId="68" fillId="0" borderId="25" xfId="127" applyFont="1" applyBorder="1" applyAlignment="1">
      <alignment vertical="center" wrapText="1"/>
    </xf>
    <xf numFmtId="0" fontId="132" fillId="0" borderId="0" xfId="0" applyFont="1"/>
    <xf numFmtId="184" fontId="1" fillId="0" borderId="0" xfId="0" applyNumberFormat="1" applyFont="1" applyAlignment="1">
      <alignment horizontal="left" vertical="center" wrapText="1"/>
    </xf>
    <xf numFmtId="0" fontId="133" fillId="0" borderId="0" xfId="0" applyFont="1"/>
    <xf numFmtId="0" fontId="0" fillId="35" borderId="0" xfId="0" applyFill="1"/>
    <xf numFmtId="0" fontId="68" fillId="35" borderId="55" xfId="0" applyFont="1" applyFill="1" applyBorder="1" applyAlignment="1">
      <alignment horizontal="left" vertical="center"/>
    </xf>
    <xf numFmtId="0" fontId="79" fillId="0" borderId="0" xfId="124" applyFont="1"/>
    <xf numFmtId="0" fontId="64" fillId="0" borderId="0" xfId="124"/>
    <xf numFmtId="0" fontId="4" fillId="0" borderId="0" xfId="124" applyFont="1" applyAlignment="1">
      <alignment horizontal="center" vertical="center"/>
    </xf>
    <xf numFmtId="0" fontId="64" fillId="0" borderId="0" xfId="124" applyAlignment="1">
      <alignment vertical="center"/>
    </xf>
    <xf numFmtId="0" fontId="9" fillId="33" borderId="37" xfId="124" applyFont="1" applyFill="1" applyBorder="1" applyAlignment="1">
      <alignment horizontal="center" vertical="center" wrapText="1"/>
    </xf>
    <xf numFmtId="0" fontId="64" fillId="0" borderId="0" xfId="124" applyAlignment="1">
      <alignment vertical="center" wrapText="1"/>
    </xf>
    <xf numFmtId="0" fontId="11" fillId="0" borderId="37" xfId="124" applyFont="1" applyBorder="1" applyAlignment="1">
      <alignment horizontal="center" vertical="center" wrapText="1"/>
    </xf>
    <xf numFmtId="0" fontId="12" fillId="0" borderId="0" xfId="124" applyFont="1" applyAlignment="1">
      <alignment vertical="center" wrapText="1"/>
    </xf>
    <xf numFmtId="0" fontId="3" fillId="0" borderId="42" xfId="124" applyFont="1" applyBorder="1" applyAlignment="1">
      <alignment horizontal="left"/>
    </xf>
    <xf numFmtId="3" fontId="3" fillId="0" borderId="42" xfId="124" applyNumberFormat="1" applyFont="1" applyBorder="1" applyAlignment="1">
      <alignment horizontal="right"/>
    </xf>
    <xf numFmtId="3" fontId="3" fillId="35" borderId="42" xfId="124" applyNumberFormat="1" applyFont="1" applyFill="1" applyBorder="1" applyAlignment="1">
      <alignment horizontal="right"/>
    </xf>
    <xf numFmtId="0" fontId="1" fillId="0" borderId="0" xfId="124" applyFont="1" applyAlignment="1">
      <alignment horizontal="left" vertical="top"/>
    </xf>
    <xf numFmtId="3" fontId="1" fillId="0" borderId="0" xfId="124" applyNumberFormat="1" applyFont="1" applyAlignment="1">
      <alignment horizontal="right" vertical="top"/>
    </xf>
    <xf numFmtId="3" fontId="1" fillId="35" borderId="0" xfId="124" applyNumberFormat="1" applyFont="1" applyFill="1" applyAlignment="1">
      <alignment horizontal="right" vertical="top"/>
    </xf>
    <xf numFmtId="3" fontId="80" fillId="0" borderId="0" xfId="124" applyNumberFormat="1" applyFont="1" applyAlignment="1">
      <alignment horizontal="right" vertical="top"/>
    </xf>
    <xf numFmtId="3" fontId="80" fillId="35" borderId="0" xfId="124" applyNumberFormat="1" applyFont="1" applyFill="1" applyAlignment="1">
      <alignment horizontal="right" vertical="top"/>
    </xf>
    <xf numFmtId="0" fontId="64" fillId="0" borderId="0" xfId="124" applyAlignment="1">
      <alignment vertical="top"/>
    </xf>
    <xf numFmtId="0" fontId="1" fillId="0" borderId="35" xfId="124" applyFont="1" applyBorder="1" applyAlignment="1">
      <alignment horizontal="left" vertical="top"/>
    </xf>
    <xf numFmtId="3" fontId="1" fillId="0" borderId="35" xfId="124" applyNumberFormat="1" applyFont="1" applyBorder="1" applyAlignment="1">
      <alignment horizontal="right" vertical="top"/>
    </xf>
    <xf numFmtId="3" fontId="1" fillId="35" borderId="35" xfId="124" applyNumberFormat="1" applyFont="1" applyFill="1" applyBorder="1" applyAlignment="1">
      <alignment horizontal="right" vertical="top"/>
    </xf>
    <xf numFmtId="0" fontId="1" fillId="0" borderId="0" xfId="124" applyFont="1" applyAlignment="1">
      <alignment vertical="top"/>
    </xf>
    <xf numFmtId="0" fontId="1" fillId="0" borderId="0" xfId="124" applyFont="1" applyAlignment="1">
      <alignment horizontal="left" vertical="top" wrapText="1"/>
    </xf>
    <xf numFmtId="0" fontId="1" fillId="0" borderId="0" xfId="124" applyFont="1" applyAlignment="1">
      <alignment vertical="top" wrapText="1"/>
    </xf>
    <xf numFmtId="183" fontId="64" fillId="0" borderId="0" xfId="124" applyNumberFormat="1"/>
    <xf numFmtId="183" fontId="75" fillId="0" borderId="0" xfId="124" applyNumberFormat="1" applyFont="1"/>
    <xf numFmtId="183" fontId="2" fillId="0" borderId="0" xfId="124" applyNumberFormat="1" applyFont="1"/>
    <xf numFmtId="1" fontId="1" fillId="0" borderId="57" xfId="0" applyNumberFormat="1" applyFont="1" applyBorder="1" applyAlignment="1">
      <alignment horizontal="right" vertical="center" wrapText="1"/>
    </xf>
    <xf numFmtId="1" fontId="1" fillId="0" borderId="0" xfId="0" applyNumberFormat="1" applyFont="1" applyAlignment="1">
      <alignment horizontal="right" vertical="center" wrapText="1"/>
    </xf>
    <xf numFmtId="0" fontId="1" fillId="35" borderId="0" xfId="0" applyFont="1" applyFill="1"/>
    <xf numFmtId="1" fontId="97" fillId="0" borderId="57" xfId="0" applyNumberFormat="1" applyFont="1" applyBorder="1" applyAlignment="1">
      <alignment horizontal="right" vertical="center" wrapText="1"/>
    </xf>
    <xf numFmtId="1" fontId="97" fillId="35" borderId="57" xfId="0" applyNumberFormat="1" applyFont="1" applyFill="1" applyBorder="1" applyAlignment="1">
      <alignment horizontal="right" vertical="center" wrapText="1"/>
    </xf>
    <xf numFmtId="1" fontId="97" fillId="0" borderId="0" xfId="0" applyNumberFormat="1" applyFont="1" applyAlignment="1">
      <alignment horizontal="right" vertical="center" wrapText="1"/>
    </xf>
    <xf numFmtId="1" fontId="97" fillId="35" borderId="0" xfId="0" applyNumberFormat="1" applyFont="1" applyFill="1" applyAlignment="1">
      <alignment horizontal="right" vertical="center" wrapText="1"/>
    </xf>
    <xf numFmtId="188" fontId="97" fillId="0" borderId="38" xfId="0" applyNumberFormat="1" applyFont="1" applyBorder="1" applyAlignment="1">
      <alignment horizontal="right" vertical="center" wrapText="1"/>
    </xf>
    <xf numFmtId="191" fontId="68" fillId="0" borderId="25" xfId="127" applyNumberFormat="1" applyFont="1" applyBorder="1" applyAlignment="1">
      <alignment horizontal="right" vertical="center" wrapText="1"/>
    </xf>
    <xf numFmtId="0" fontId="79" fillId="36" borderId="0" xfId="0" applyFont="1" applyFill="1" applyAlignment="1">
      <alignment wrapText="1"/>
    </xf>
    <xf numFmtId="0" fontId="5" fillId="36" borderId="52" xfId="126" applyFont="1" applyFill="1" applyBorder="1" applyAlignment="1">
      <alignment horizontal="left" vertical="center"/>
    </xf>
    <xf numFmtId="191" fontId="5" fillId="0" borderId="0" xfId="127" applyNumberFormat="1" applyFont="1" applyAlignment="1">
      <alignment horizontal="right" vertical="center" wrapText="1"/>
    </xf>
    <xf numFmtId="0" fontId="134" fillId="0" borderId="0" xfId="0" applyFont="1"/>
    <xf numFmtId="0" fontId="12" fillId="0" borderId="0" xfId="0" applyFont="1" applyAlignment="1">
      <alignment horizontal="left" vertical="center" wrapText="1"/>
    </xf>
    <xf numFmtId="0" fontId="135" fillId="0" borderId="0" xfId="0" applyFont="1"/>
    <xf numFmtId="0" fontId="1" fillId="2" borderId="0" xfId="0" applyFont="1" applyFill="1" applyAlignment="1">
      <alignment horizontal="left" wrapText="1"/>
    </xf>
    <xf numFmtId="0" fontId="3" fillId="0" borderId="47" xfId="0" applyFont="1" applyBorder="1" applyAlignment="1">
      <alignment vertical="center" wrapText="1"/>
    </xf>
    <xf numFmtId="0" fontId="3" fillId="36" borderId="35" xfId="0" applyFont="1" applyFill="1" applyBorder="1" applyAlignment="1">
      <alignment horizontal="left" vertical="center"/>
    </xf>
    <xf numFmtId="0" fontId="5" fillId="36" borderId="0" xfId="0" applyFont="1" applyFill="1" applyAlignment="1">
      <alignment horizontal="right" vertical="center"/>
    </xf>
    <xf numFmtId="183" fontId="5" fillId="37" borderId="0" xfId="0" applyNumberFormat="1" applyFont="1" applyFill="1" applyAlignment="1">
      <alignment horizontal="right" vertical="center" wrapText="1"/>
    </xf>
    <xf numFmtId="0" fontId="5" fillId="37" borderId="0" xfId="0" applyFont="1" applyFill="1" applyAlignment="1">
      <alignment horizontal="left" vertical="center"/>
    </xf>
    <xf numFmtId="0" fontId="3" fillId="37" borderId="44" xfId="0" applyFont="1" applyFill="1" applyBorder="1" applyAlignment="1">
      <alignment vertical="center" wrapText="1"/>
    </xf>
    <xf numFmtId="0" fontId="3" fillId="37" borderId="47" xfId="0" applyFont="1" applyFill="1" applyBorder="1" applyAlignment="1">
      <alignment vertical="center" wrapText="1"/>
    </xf>
    <xf numFmtId="194" fontId="68" fillId="37" borderId="76" xfId="0" applyNumberFormat="1" applyFont="1" applyFill="1" applyBorder="1" applyAlignment="1">
      <alignment horizontal="right" vertical="center" wrapText="1"/>
    </xf>
    <xf numFmtId="183" fontId="1" fillId="37" borderId="0" xfId="0" applyNumberFormat="1" applyFont="1" applyFill="1" applyAlignment="1">
      <alignment horizontal="right" vertical="center" wrapText="1"/>
    </xf>
    <xf numFmtId="0" fontId="5" fillId="37" borderId="0" xfId="0" applyFont="1" applyFill="1"/>
    <xf numFmtId="0" fontId="111" fillId="37" borderId="47" xfId="0" applyFont="1" applyFill="1" applyBorder="1" applyAlignment="1">
      <alignment wrapText="1"/>
    </xf>
    <xf numFmtId="0" fontId="5" fillId="37" borderId="0" xfId="0" applyFont="1" applyFill="1" applyAlignment="1">
      <alignment horizontal="right" vertical="center"/>
    </xf>
    <xf numFmtId="0" fontId="111" fillId="37" borderId="44" xfId="0" applyFont="1" applyFill="1" applyBorder="1" applyAlignment="1">
      <alignment wrapText="1"/>
    </xf>
    <xf numFmtId="0" fontId="79" fillId="37" borderId="44" xfId="0" applyFont="1" applyFill="1" applyBorder="1" applyAlignment="1">
      <alignment wrapText="1"/>
    </xf>
    <xf numFmtId="194" fontId="5" fillId="37" borderId="0" xfId="0" applyNumberFormat="1" applyFont="1" applyFill="1" applyAlignment="1">
      <alignment horizontal="right" vertical="center" wrapText="1"/>
    </xf>
    <xf numFmtId="0" fontId="3" fillId="37" borderId="35" xfId="0" applyFont="1" applyFill="1" applyBorder="1" applyAlignment="1">
      <alignment horizontal="left" vertical="center"/>
    </xf>
    <xf numFmtId="194" fontId="68" fillId="37" borderId="87" xfId="0" applyNumberFormat="1" applyFont="1" applyFill="1" applyBorder="1" applyAlignment="1">
      <alignment horizontal="right" vertical="center" wrapText="1"/>
    </xf>
    <xf numFmtId="184" fontId="68" fillId="37" borderId="52" xfId="0" applyNumberFormat="1" applyFont="1" applyFill="1" applyBorder="1" applyAlignment="1">
      <alignment horizontal="right" vertical="center"/>
    </xf>
    <xf numFmtId="0" fontId="75" fillId="37" borderId="0" xfId="0" applyFont="1" applyFill="1" applyAlignment="1">
      <alignment horizontal="left" vertical="center"/>
    </xf>
    <xf numFmtId="0" fontId="136" fillId="0" borderId="0" xfId="0" applyFont="1" applyAlignment="1">
      <alignment horizontal="center"/>
    </xf>
    <xf numFmtId="188" fontId="68" fillId="0" borderId="48" xfId="0" applyNumberFormat="1" applyFont="1" applyBorder="1" applyAlignment="1">
      <alignment horizontal="right" vertical="center"/>
    </xf>
    <xf numFmtId="0" fontId="137" fillId="32" borderId="30" xfId="132" applyFont="1" applyFill="1" applyBorder="1" applyAlignment="1">
      <alignment horizontal="left" vertical="center" wrapText="1"/>
    </xf>
    <xf numFmtId="0" fontId="4" fillId="0" borderId="0" xfId="0" applyFont="1" applyAlignment="1">
      <alignment horizontal="left" vertical="center" wrapText="1"/>
    </xf>
    <xf numFmtId="188" fontId="4" fillId="0" borderId="0" xfId="0" applyNumberFormat="1" applyFont="1" applyAlignment="1">
      <alignment horizontal="right" vertical="center"/>
    </xf>
    <xf numFmtId="188" fontId="4" fillId="35" borderId="0" xfId="0" applyNumberFormat="1" applyFont="1" applyFill="1" applyAlignment="1">
      <alignment horizontal="right" vertical="center"/>
    </xf>
    <xf numFmtId="0" fontId="4" fillId="0" borderId="46" xfId="0" applyFont="1" applyBorder="1" applyAlignment="1">
      <alignment horizontal="left" vertical="center" wrapText="1"/>
    </xf>
    <xf numFmtId="188" fontId="4" fillId="0" borderId="46" xfId="0" applyNumberFormat="1" applyFont="1" applyBorder="1" applyAlignment="1">
      <alignment horizontal="right" vertical="center"/>
    </xf>
    <xf numFmtId="188" fontId="4" fillId="35" borderId="46" xfId="0" applyNumberFormat="1" applyFont="1" applyFill="1" applyBorder="1" applyAlignment="1">
      <alignment horizontal="right" vertical="center"/>
    </xf>
    <xf numFmtId="0" fontId="4" fillId="0" borderId="48" xfId="0" applyFont="1" applyBorder="1" applyAlignment="1">
      <alignment horizontal="left" vertical="center" wrapText="1"/>
    </xf>
    <xf numFmtId="188" fontId="4" fillId="0" borderId="48" xfId="0" applyNumberFormat="1" applyFont="1" applyBorder="1" applyAlignment="1">
      <alignment horizontal="right" vertical="center"/>
    </xf>
    <xf numFmtId="188" fontId="4" fillId="35" borderId="48" xfId="0" applyNumberFormat="1" applyFont="1" applyFill="1" applyBorder="1" applyAlignment="1">
      <alignment horizontal="right" vertical="center"/>
    </xf>
    <xf numFmtId="0" fontId="64" fillId="0" borderId="0" xfId="0" applyFont="1" applyAlignment="1">
      <alignment horizontal="left" vertical="center" wrapText="1"/>
    </xf>
    <xf numFmtId="0" fontId="1" fillId="0" borderId="0" xfId="126" applyFont="1"/>
    <xf numFmtId="0" fontId="1" fillId="0" borderId="0" xfId="126" applyFont="1" applyAlignment="1">
      <alignment horizontal="left" vertical="center"/>
    </xf>
    <xf numFmtId="0" fontId="64" fillId="0" borderId="48" xfId="0" applyFont="1" applyBorder="1" applyAlignment="1">
      <alignment vertical="center" wrapText="1"/>
    </xf>
    <xf numFmtId="188" fontId="64" fillId="0" borderId="48" xfId="0" applyNumberFormat="1" applyFont="1" applyBorder="1" applyAlignment="1">
      <alignment horizontal="right" vertical="center"/>
    </xf>
    <xf numFmtId="188" fontId="64" fillId="35" borderId="48" xfId="0" applyNumberFormat="1" applyFont="1" applyFill="1" applyBorder="1" applyAlignment="1">
      <alignment horizontal="right" vertical="center"/>
    </xf>
    <xf numFmtId="0" fontId="64" fillId="0" borderId="0" xfId="0" applyFont="1" applyAlignment="1">
      <alignment vertical="center" wrapText="1"/>
    </xf>
    <xf numFmtId="188" fontId="64" fillId="0" borderId="0" xfId="0" applyNumberFormat="1" applyFont="1" applyAlignment="1">
      <alignment horizontal="right" vertical="center"/>
    </xf>
    <xf numFmtId="188" fontId="64" fillId="35" borderId="0" xfId="0" applyNumberFormat="1" applyFont="1" applyFill="1" applyAlignment="1">
      <alignment horizontal="right" vertical="center"/>
    </xf>
    <xf numFmtId="0" fontId="64" fillId="0" borderId="48" xfId="0" applyFont="1" applyBorder="1" applyAlignment="1">
      <alignment horizontal="left" vertical="center" wrapText="1"/>
    </xf>
    <xf numFmtId="0" fontId="138" fillId="33" borderId="36" xfId="0" applyFont="1" applyFill="1" applyBorder="1" applyAlignment="1">
      <alignment horizontal="center" vertical="center" wrapText="1"/>
    </xf>
    <xf numFmtId="0" fontId="64" fillId="0" borderId="46" xfId="0" applyFont="1" applyBorder="1" applyAlignment="1">
      <alignment horizontal="left" vertical="center" wrapText="1"/>
    </xf>
    <xf numFmtId="188" fontId="64" fillId="0" borderId="46" xfId="0" applyNumberFormat="1" applyFont="1" applyBorder="1" applyAlignment="1">
      <alignment horizontal="right" vertical="center"/>
    </xf>
    <xf numFmtId="188" fontId="64" fillId="35" borderId="46" xfId="0" applyNumberFormat="1" applyFont="1" applyFill="1" applyBorder="1" applyAlignment="1">
      <alignment horizontal="right" vertical="center"/>
    </xf>
    <xf numFmtId="0" fontId="64" fillId="0" borderId="42" xfId="0" applyFont="1" applyBorder="1" applyAlignment="1">
      <alignment vertical="center" wrapText="1"/>
    </xf>
    <xf numFmtId="188" fontId="64" fillId="0" borderId="42" xfId="0" applyNumberFormat="1" applyFont="1" applyBorder="1" applyAlignment="1">
      <alignment horizontal="right" vertical="center"/>
    </xf>
    <xf numFmtId="188" fontId="64" fillId="35" borderId="42" xfId="0" applyNumberFormat="1" applyFont="1" applyFill="1" applyBorder="1" applyAlignment="1">
      <alignment horizontal="right" vertical="center"/>
    </xf>
    <xf numFmtId="0" fontId="4" fillId="0" borderId="89" xfId="0" applyFont="1" applyBorder="1" applyAlignment="1">
      <alignment horizontal="left" vertical="center" wrapText="1"/>
    </xf>
    <xf numFmtId="188" fontId="4" fillId="0" borderId="89" xfId="0" applyNumberFormat="1" applyFont="1" applyBorder="1" applyAlignment="1">
      <alignment horizontal="right" vertical="center"/>
    </xf>
    <xf numFmtId="188" fontId="4" fillId="35" borderId="89" xfId="0" applyNumberFormat="1" applyFont="1" applyFill="1" applyBorder="1" applyAlignment="1">
      <alignment horizontal="right" vertical="center"/>
    </xf>
    <xf numFmtId="0" fontId="4" fillId="0" borderId="58" xfId="0" applyFont="1" applyBorder="1" applyAlignment="1">
      <alignment horizontal="left" vertical="center" wrapText="1"/>
    </xf>
    <xf numFmtId="188" fontId="4" fillId="0" borderId="58" xfId="0" applyNumberFormat="1" applyFont="1" applyBorder="1" applyAlignment="1">
      <alignment horizontal="right" vertical="center"/>
    </xf>
    <xf numFmtId="188" fontId="4" fillId="35" borderId="58" xfId="0" applyNumberFormat="1" applyFont="1" applyFill="1" applyBorder="1" applyAlignment="1">
      <alignment horizontal="right" vertical="center"/>
    </xf>
    <xf numFmtId="0" fontId="64" fillId="0" borderId="0" xfId="0" applyFont="1" applyAlignment="1">
      <alignment vertical="center"/>
    </xf>
    <xf numFmtId="0" fontId="4" fillId="0" borderId="46" xfId="0" applyFont="1" applyBorder="1" applyAlignment="1">
      <alignment horizontal="left" vertical="center"/>
    </xf>
    <xf numFmtId="0" fontId="64" fillId="0" borderId="0" xfId="0" applyFont="1" applyAlignment="1">
      <alignment horizontal="left" vertical="center"/>
    </xf>
    <xf numFmtId="0" fontId="64" fillId="0" borderId="42" xfId="0" applyFont="1" applyBorder="1" applyAlignment="1">
      <alignment horizontal="left" vertical="center"/>
    </xf>
    <xf numFmtId="0" fontId="141" fillId="0" borderId="90" xfId="105" applyFont="1" applyBorder="1"/>
    <xf numFmtId="0" fontId="141" fillId="0" borderId="45" xfId="105" applyFont="1" applyBorder="1"/>
    <xf numFmtId="3" fontId="141" fillId="0" borderId="90" xfId="204" applyNumberFormat="1" applyFont="1" applyBorder="1" applyAlignment="1">
      <alignment horizontal="right"/>
    </xf>
    <xf numFmtId="3" fontId="141" fillId="0" borderId="45" xfId="105" applyNumberFormat="1" applyFont="1" applyBorder="1" applyAlignment="1">
      <alignment horizontal="right"/>
    </xf>
    <xf numFmtId="0" fontId="142" fillId="0" borderId="45" xfId="105" applyFont="1" applyBorder="1" applyAlignment="1">
      <alignment horizontal="left" indent="1"/>
    </xf>
    <xf numFmtId="9" fontId="142" fillId="0" borderId="45" xfId="141" applyFont="1" applyFill="1" applyBorder="1" applyAlignment="1">
      <alignment horizontal="right"/>
    </xf>
    <xf numFmtId="0" fontId="140" fillId="0" borderId="0" xfId="127" applyFont="1"/>
    <xf numFmtId="0" fontId="143" fillId="44" borderId="91" xfId="0" applyFont="1" applyFill="1" applyBorder="1" applyAlignment="1" applyProtection="1">
      <alignment horizontal="left" vertical="center" wrapText="1"/>
      <protection locked="0"/>
    </xf>
    <xf numFmtId="0" fontId="144" fillId="38" borderId="35" xfId="0" applyFont="1" applyFill="1" applyBorder="1" applyAlignment="1">
      <alignment horizontal="right" vertical="center" wrapText="1"/>
    </xf>
    <xf numFmtId="0" fontId="145" fillId="2" borderId="92" xfId="0" applyFont="1" applyFill="1" applyBorder="1" applyAlignment="1" applyProtection="1">
      <alignment horizontal="left" vertical="center" wrapText="1"/>
      <protection locked="0"/>
    </xf>
    <xf numFmtId="9" fontId="146" fillId="38" borderId="0" xfId="0" applyNumberFormat="1" applyFont="1" applyFill="1" applyAlignment="1">
      <alignment horizontal="right" vertical="center" wrapText="1"/>
    </xf>
    <xf numFmtId="0" fontId="145" fillId="2" borderId="93" xfId="0" applyFont="1" applyFill="1" applyBorder="1" applyAlignment="1" applyProtection="1">
      <alignment horizontal="left" vertical="center" wrapText="1"/>
      <protection locked="0"/>
    </xf>
    <xf numFmtId="9" fontId="145" fillId="2" borderId="77" xfId="203" applyFont="1" applyFill="1" applyBorder="1" applyAlignment="1" applyProtection="1">
      <alignment horizontal="right" vertical="center" wrapText="1"/>
      <protection locked="0"/>
    </xf>
    <xf numFmtId="0" fontId="1" fillId="2" borderId="0" xfId="124" applyFont="1" applyFill="1" applyAlignment="1">
      <alignment horizontal="left" wrapText="1" indent="1"/>
    </xf>
    <xf numFmtId="0" fontId="1" fillId="43" borderId="0" xfId="0" applyFont="1" applyFill="1"/>
    <xf numFmtId="0" fontId="134" fillId="43" borderId="0" xfId="0" applyFont="1" applyFill="1"/>
    <xf numFmtId="0" fontId="1" fillId="2" borderId="0" xfId="124" applyFont="1" applyFill="1" applyAlignment="1">
      <alignment horizontal="left" wrapText="1"/>
    </xf>
    <xf numFmtId="189" fontId="4" fillId="0" borderId="48" xfId="0" applyNumberFormat="1" applyFont="1" applyBorder="1" applyAlignment="1">
      <alignment horizontal="right" vertical="center"/>
    </xf>
    <xf numFmtId="0" fontId="4" fillId="36" borderId="48" xfId="0" applyFont="1" applyFill="1" applyBorder="1" applyAlignment="1">
      <alignment horizontal="left" vertical="center" wrapText="1"/>
    </xf>
    <xf numFmtId="3" fontId="141" fillId="35" borderId="90" xfId="204" applyNumberFormat="1" applyFont="1" applyFill="1" applyBorder="1" applyAlignment="1">
      <alignment horizontal="right"/>
    </xf>
    <xf numFmtId="0" fontId="140" fillId="35" borderId="0" xfId="127" applyFont="1" applyFill="1"/>
    <xf numFmtId="10" fontId="95" fillId="0" borderId="0" xfId="127" applyNumberFormat="1"/>
    <xf numFmtId="188" fontId="4" fillId="36" borderId="48" xfId="0" applyNumberFormat="1" applyFont="1" applyFill="1" applyBorder="1" applyAlignment="1">
      <alignment horizontal="right" vertical="center"/>
    </xf>
    <xf numFmtId="190" fontId="64" fillId="36" borderId="60" xfId="133" applyNumberFormat="1" applyFill="1" applyBorder="1" applyAlignment="1">
      <alignment vertical="center"/>
    </xf>
    <xf numFmtId="190" fontId="64" fillId="36" borderId="0" xfId="133" applyNumberFormat="1" applyFill="1" applyAlignment="1">
      <alignment vertical="center"/>
    </xf>
    <xf numFmtId="188" fontId="68" fillId="36" borderId="0" xfId="125" applyNumberFormat="1" applyFont="1" applyFill="1" applyAlignment="1">
      <alignment horizontal="right" wrapText="1"/>
    </xf>
    <xf numFmtId="188" fontId="1" fillId="36" borderId="0" xfId="128" applyNumberFormat="1" applyFont="1" applyFill="1"/>
    <xf numFmtId="188" fontId="68" fillId="36" borderId="0" xfId="125" applyNumberFormat="1" applyFont="1" applyFill="1" applyAlignment="1">
      <alignment horizontal="right" vertical="center" wrapText="1"/>
    </xf>
    <xf numFmtId="188" fontId="103" fillId="36" borderId="0" xfId="128" applyNumberFormat="1" applyFont="1" applyFill="1"/>
    <xf numFmtId="3" fontId="100" fillId="0" borderId="0" xfId="128" applyNumberFormat="1" applyFont="1"/>
    <xf numFmtId="0" fontId="80" fillId="36" borderId="0" xfId="0" applyFont="1" applyFill="1" applyAlignment="1">
      <alignment horizontal="left" vertical="center" indent="1"/>
    </xf>
    <xf numFmtId="0" fontId="1" fillId="36" borderId="0" xfId="0" applyFont="1" applyFill="1" applyAlignment="1">
      <alignment horizontal="left" vertical="center" indent="1"/>
    </xf>
    <xf numFmtId="188" fontId="80" fillId="36" borderId="0" xfId="0" applyNumberFormat="1" applyFont="1" applyFill="1" applyAlignment="1">
      <alignment horizontal="right" vertical="center"/>
    </xf>
    <xf numFmtId="188" fontId="90" fillId="36" borderId="0" xfId="0" applyNumberFormat="1" applyFont="1" applyFill="1" applyAlignment="1">
      <alignment horizontal="right" vertical="center"/>
    </xf>
    <xf numFmtId="188" fontId="67" fillId="36" borderId="0" xfId="0" applyNumberFormat="1" applyFont="1" applyFill="1" applyAlignment="1">
      <alignment horizontal="right" vertical="center"/>
    </xf>
    <xf numFmtId="0" fontId="3" fillId="36" borderId="44" xfId="130" applyFont="1" applyFill="1" applyBorder="1" applyAlignment="1">
      <alignment vertical="center" wrapText="1"/>
    </xf>
    <xf numFmtId="0" fontId="1" fillId="36" borderId="0" xfId="134" applyFont="1" applyFill="1" applyAlignment="1">
      <alignment vertical="center" wrapText="1"/>
    </xf>
    <xf numFmtId="0" fontId="5" fillId="36" borderId="0" xfId="134" applyFont="1" applyFill="1" applyAlignment="1">
      <alignment vertical="center" wrapText="1"/>
    </xf>
    <xf numFmtId="0" fontId="1" fillId="36" borderId="48" xfId="134" applyFont="1" applyFill="1" applyBorder="1" applyAlignment="1">
      <alignment vertical="center" wrapText="1"/>
    </xf>
    <xf numFmtId="0" fontId="5" fillId="36" borderId="42" xfId="134" applyFont="1" applyFill="1" applyBorder="1" applyAlignment="1">
      <alignment vertical="center" wrapText="1"/>
    </xf>
    <xf numFmtId="0" fontId="1" fillId="36" borderId="46" xfId="134" applyFont="1" applyFill="1" applyBorder="1" applyAlignment="1">
      <alignment vertical="center"/>
    </xf>
    <xf numFmtId="0" fontId="1" fillId="36" borderId="0" xfId="134" applyFont="1" applyFill="1" applyAlignment="1">
      <alignment vertical="center"/>
    </xf>
    <xf numFmtId="0" fontId="68" fillId="36" borderId="44" xfId="130" applyFont="1" applyFill="1" applyBorder="1" applyAlignment="1">
      <alignment vertical="center" wrapText="1"/>
    </xf>
    <xf numFmtId="0" fontId="1" fillId="36" borderId="46" xfId="134" applyFont="1" applyFill="1" applyBorder="1" applyAlignment="1">
      <alignment vertical="center" wrapText="1"/>
    </xf>
    <xf numFmtId="0" fontId="1" fillId="36" borderId="47" xfId="134" applyFont="1" applyFill="1" applyBorder="1" applyAlignment="1">
      <alignment vertical="center" wrapText="1"/>
    </xf>
    <xf numFmtId="0" fontId="3" fillId="36" borderId="44" xfId="0" applyFont="1" applyFill="1" applyBorder="1" applyAlignment="1">
      <alignment vertical="center" wrapText="1"/>
    </xf>
    <xf numFmtId="0" fontId="1" fillId="36" borderId="41" xfId="134" applyFont="1" applyFill="1" applyBorder="1" applyAlignment="1">
      <alignment vertical="center" wrapText="1"/>
    </xf>
    <xf numFmtId="9" fontId="146" fillId="0" borderId="0" xfId="0" applyNumberFormat="1" applyFont="1" applyAlignment="1">
      <alignment horizontal="right" vertical="center" wrapText="1"/>
    </xf>
    <xf numFmtId="0" fontId="142" fillId="0" borderId="0" xfId="105" applyFont="1" applyAlignment="1">
      <alignment horizontal="left" indent="1"/>
    </xf>
    <xf numFmtId="9" fontId="110" fillId="0" borderId="0" xfId="141" applyFont="1" applyAlignment="1">
      <alignment horizontal="right" vertical="center" wrapText="1"/>
    </xf>
    <xf numFmtId="194" fontId="110" fillId="0" borderId="0" xfId="127" applyNumberFormat="1" applyFont="1" applyAlignment="1">
      <alignment horizontal="right" vertical="center" wrapText="1"/>
    </xf>
    <xf numFmtId="189" fontId="4" fillId="35" borderId="48" xfId="0" applyNumberFormat="1" applyFont="1" applyFill="1" applyBorder="1" applyAlignment="1">
      <alignment horizontal="right" vertical="center"/>
    </xf>
    <xf numFmtId="9" fontId="142" fillId="0" borderId="0" xfId="141" applyFont="1" applyFill="1" applyBorder="1" applyAlignment="1">
      <alignment horizontal="right"/>
    </xf>
    <xf numFmtId="0" fontId="141" fillId="36" borderId="90" xfId="105" applyFont="1" applyFill="1" applyBorder="1"/>
    <xf numFmtId="0" fontId="64" fillId="36" borderId="0" xfId="124" applyFill="1" applyAlignment="1">
      <alignment vertical="center"/>
    </xf>
    <xf numFmtId="3" fontId="141" fillId="36" borderId="90" xfId="204" applyNumberFormat="1" applyFont="1" applyFill="1" applyBorder="1" applyAlignment="1">
      <alignment horizontal="right"/>
    </xf>
    <xf numFmtId="0" fontId="140" fillId="36" borderId="0" xfId="127" applyFont="1" applyFill="1"/>
    <xf numFmtId="0" fontId="142" fillId="36" borderId="94" xfId="105" applyFont="1" applyFill="1" applyBorder="1" applyAlignment="1">
      <alignment horizontal="left" indent="1"/>
    </xf>
    <xf numFmtId="3" fontId="142" fillId="36" borderId="94" xfId="105" applyNumberFormat="1" applyFont="1" applyFill="1" applyBorder="1" applyAlignment="1">
      <alignment horizontal="right"/>
    </xf>
    <xf numFmtId="0" fontId="142" fillId="36" borderId="0" xfId="105" applyFont="1" applyFill="1" applyAlignment="1">
      <alignment horizontal="left" indent="1"/>
    </xf>
    <xf numFmtId="3" fontId="142" fillId="36" borderId="0" xfId="105" applyNumberFormat="1" applyFont="1" applyFill="1" applyAlignment="1">
      <alignment horizontal="right"/>
    </xf>
    <xf numFmtId="3" fontId="142" fillId="35" borderId="0" xfId="105" applyNumberFormat="1" applyFont="1" applyFill="1" applyAlignment="1">
      <alignment horizontal="right"/>
    </xf>
    <xf numFmtId="3" fontId="142" fillId="35" borderId="94" xfId="105" applyNumberFormat="1" applyFont="1" applyFill="1" applyBorder="1" applyAlignment="1">
      <alignment horizontal="right"/>
    </xf>
    <xf numFmtId="188" fontId="80" fillId="36" borderId="0" xfId="129" applyNumberFormat="1" applyFont="1" applyFill="1" applyAlignment="1">
      <alignment vertical="center"/>
    </xf>
    <xf numFmtId="188" fontId="5" fillId="0" borderId="0" xfId="131" quotePrefix="1" applyNumberFormat="1" applyFont="1" applyAlignment="1" applyProtection="1">
      <alignment horizontal="right" vertical="center"/>
      <protection locked="0"/>
    </xf>
    <xf numFmtId="0" fontId="141" fillId="36" borderId="94" xfId="105" applyFont="1" applyFill="1" applyBorder="1"/>
    <xf numFmtId="3" fontId="141" fillId="36" borderId="94" xfId="204" applyNumberFormat="1" applyFont="1" applyFill="1" applyBorder="1" applyAlignment="1">
      <alignment horizontal="right"/>
    </xf>
    <xf numFmtId="3" fontId="141" fillId="35" borderId="94" xfId="204" applyNumberFormat="1" applyFont="1" applyFill="1" applyBorder="1" applyAlignment="1">
      <alignment horizontal="right"/>
    </xf>
    <xf numFmtId="0" fontId="3" fillId="0" borderId="42" xfId="0" applyFont="1" applyBorder="1" applyAlignment="1">
      <alignment horizontal="left" vertical="center"/>
    </xf>
    <xf numFmtId="3" fontId="3" fillId="0" borderId="42" xfId="0" applyNumberFormat="1" applyFont="1" applyBorder="1" applyAlignment="1">
      <alignment horizontal="right" vertical="center"/>
    </xf>
    <xf numFmtId="3" fontId="3" fillId="35" borderId="42" xfId="0" applyNumberFormat="1" applyFont="1" applyFill="1" applyBorder="1" applyAlignment="1">
      <alignment horizontal="right" vertical="center"/>
    </xf>
    <xf numFmtId="3" fontId="3" fillId="36" borderId="42" xfId="0" applyNumberFormat="1" applyFont="1" applyFill="1" applyBorder="1" applyAlignment="1">
      <alignment horizontal="right" vertical="center"/>
    </xf>
    <xf numFmtId="3" fontId="80" fillId="0" borderId="0" xfId="0" applyNumberFormat="1" applyFont="1" applyAlignment="1">
      <alignment horizontal="right" vertical="center"/>
    </xf>
    <xf numFmtId="3" fontId="80" fillId="35" borderId="0" xfId="0" applyNumberFormat="1" applyFont="1" applyFill="1" applyAlignment="1">
      <alignment horizontal="right" vertical="center"/>
    </xf>
    <xf numFmtId="3" fontId="80" fillId="36" borderId="0" xfId="0" applyNumberFormat="1" applyFont="1" applyFill="1" applyAlignment="1">
      <alignment horizontal="right" vertical="center"/>
    </xf>
    <xf numFmtId="0" fontId="12" fillId="0" borderId="0" xfId="0" applyFont="1" applyAlignment="1">
      <alignment horizontal="left" vertical="center" wrapText="1"/>
    </xf>
    <xf numFmtId="0" fontId="0" fillId="0" borderId="0" xfId="0" applyAlignment="1">
      <alignment wrapText="1"/>
    </xf>
    <xf numFmtId="0" fontId="12" fillId="0" borderId="0" xfId="0" applyFont="1" applyAlignment="1">
      <alignment wrapText="1"/>
    </xf>
    <xf numFmtId="0" fontId="12" fillId="0" borderId="0" xfId="0" applyFont="1" applyAlignment="1">
      <alignment horizontal="left" vertical="center"/>
    </xf>
    <xf numFmtId="0" fontId="12" fillId="0" borderId="0" xfId="0" applyFont="1" applyAlignment="1">
      <alignment horizontal="left" vertical="top" wrapText="1"/>
    </xf>
    <xf numFmtId="0" fontId="96" fillId="33" borderId="68" xfId="0" applyFont="1" applyFill="1" applyBorder="1" applyAlignment="1">
      <alignment horizontal="center" vertical="center" wrapText="1"/>
    </xf>
    <xf numFmtId="0" fontId="96" fillId="33" borderId="69" xfId="0" applyFont="1" applyFill="1" applyBorder="1" applyAlignment="1">
      <alignment horizontal="center" vertical="center" wrapText="1"/>
    </xf>
    <xf numFmtId="0" fontId="9" fillId="33" borderId="23" xfId="0" applyFont="1" applyFill="1" applyBorder="1" applyAlignment="1">
      <alignment horizontal="center" vertical="center" wrapText="1"/>
    </xf>
    <xf numFmtId="0" fontId="9" fillId="33" borderId="20"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33" xfId="0" applyBorder="1" applyAlignment="1">
      <alignment horizontal="center" vertical="center" wrapText="1"/>
    </xf>
    <xf numFmtId="0" fontId="0" fillId="0" borderId="20" xfId="0" applyBorder="1"/>
    <xf numFmtId="0" fontId="69" fillId="0" borderId="0" xfId="126" applyAlignment="1">
      <alignment vertical="center" wrapText="1"/>
    </xf>
    <xf numFmtId="0" fontId="69" fillId="0" borderId="0" xfId="126" applyAlignment="1">
      <alignment horizontal="left" vertical="center" wrapText="1"/>
    </xf>
    <xf numFmtId="0" fontId="69" fillId="36" borderId="0" xfId="126" applyFill="1" applyAlignment="1">
      <alignment horizontal="left" vertical="center" wrapText="1"/>
    </xf>
    <xf numFmtId="0" fontId="0" fillId="0" borderId="0" xfId="0"/>
    <xf numFmtId="0" fontId="100" fillId="0" borderId="0" xfId="128" applyFont="1" applyAlignment="1">
      <alignment wrapText="1"/>
    </xf>
    <xf numFmtId="0" fontId="1" fillId="2" borderId="0" xfId="0" applyFont="1" applyFill="1" applyAlignment="1">
      <alignment horizontal="left" wrapText="1"/>
    </xf>
    <xf numFmtId="0" fontId="1" fillId="0" borderId="0" xfId="0" applyFont="1" applyAlignment="1">
      <alignment horizontal="left" vertical="center" wrapText="1"/>
    </xf>
    <xf numFmtId="0" fontId="1" fillId="0" borderId="48" xfId="0" applyFont="1" applyBorder="1" applyAlignment="1">
      <alignment horizontal="left" vertical="center" wrapText="1"/>
    </xf>
    <xf numFmtId="0" fontId="1" fillId="0" borderId="48" xfId="0" applyFont="1" applyBorder="1" applyAlignment="1">
      <alignment horizontal="left"/>
    </xf>
    <xf numFmtId="0" fontId="1" fillId="2" borderId="0" xfId="0" applyFont="1" applyFill="1" applyAlignment="1">
      <alignment horizontal="left"/>
    </xf>
    <xf numFmtId="0" fontId="1" fillId="0" borderId="47" xfId="0" applyFont="1" applyBorder="1" applyAlignment="1" applyProtection="1">
      <alignment vertical="center" wrapText="1"/>
      <protection locked="0"/>
    </xf>
    <xf numFmtId="0" fontId="0" fillId="0" borderId="47" xfId="0" applyBorder="1" applyAlignment="1">
      <alignment vertical="center" wrapText="1"/>
    </xf>
    <xf numFmtId="0" fontId="1" fillId="0" borderId="47" xfId="0" applyFont="1" applyBorder="1" applyAlignment="1" applyProtection="1">
      <alignment horizontal="left" vertical="center" wrapText="1"/>
      <protection locked="0"/>
    </xf>
    <xf numFmtId="0" fontId="1" fillId="0" borderId="47" xfId="0" applyFont="1" applyBorder="1" applyAlignment="1">
      <alignment vertical="center" wrapText="1"/>
    </xf>
    <xf numFmtId="0" fontId="0" fillId="0" borderId="47" xfId="0" applyBorder="1" applyAlignment="1">
      <alignment wrapText="1"/>
    </xf>
    <xf numFmtId="0" fontId="1" fillId="0" borderId="47"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9" fillId="33" borderId="70" xfId="127" applyFont="1" applyFill="1" applyBorder="1" applyAlignment="1">
      <alignment horizontal="center" vertical="center" wrapText="1"/>
    </xf>
    <xf numFmtId="0" fontId="9" fillId="33" borderId="19" xfId="127" applyFont="1" applyFill="1" applyBorder="1" applyAlignment="1">
      <alignment horizontal="center" vertical="center" wrapText="1"/>
    </xf>
    <xf numFmtId="0" fontId="9" fillId="33" borderId="71" xfId="127" applyFont="1" applyFill="1" applyBorder="1" applyAlignment="1">
      <alignment horizontal="center" vertical="center" wrapText="1"/>
    </xf>
    <xf numFmtId="183" fontId="1" fillId="0" borderId="0" xfId="0" applyNumberFormat="1" applyFont="1"/>
    <xf numFmtId="0" fontId="1" fillId="36" borderId="47" xfId="0" applyFont="1" applyFill="1" applyBorder="1" applyAlignment="1">
      <alignment vertical="center" wrapText="1"/>
    </xf>
  </cellXfs>
  <cellStyles count="205">
    <cellStyle name="[StdExit()]" xfId="1" xr:uid="{00000000-0005-0000-0000-000000000000}"/>
    <cellStyle name="_Agregacja propozycje" xfId="2" xr:uid="{00000000-0005-0000-0000-000001000000}"/>
    <cellStyle name="_Zestaw_danych_IR_2kw2007" xfId="3" xr:uid="{00000000-0005-0000-0000-000002000000}"/>
    <cellStyle name="=D:\WINNT\SYSTEM32\COMMAND.COM" xfId="4" xr:uid="{00000000-0005-0000-0000-000003000000}"/>
    <cellStyle name="20% - Accent1" xfId="5" xr:uid="{00000000-0005-0000-0000-000004000000}"/>
    <cellStyle name="20% - Accent2" xfId="6" xr:uid="{00000000-0005-0000-0000-000005000000}"/>
    <cellStyle name="20% - Accent3" xfId="7" xr:uid="{00000000-0005-0000-0000-000006000000}"/>
    <cellStyle name="20% - Accent4" xfId="8" xr:uid="{00000000-0005-0000-0000-000007000000}"/>
    <cellStyle name="20% - Accent5" xfId="9" xr:uid="{00000000-0005-0000-0000-000008000000}"/>
    <cellStyle name="20% - Accent6" xfId="10" xr:uid="{00000000-0005-0000-0000-000009000000}"/>
    <cellStyle name="20% - akcent 1 2" xfId="11" xr:uid="{00000000-0005-0000-0000-00000A000000}"/>
    <cellStyle name="20% - akcent 2 2" xfId="12" xr:uid="{00000000-0005-0000-0000-00000B000000}"/>
    <cellStyle name="20% - akcent 3 2" xfId="13" xr:uid="{00000000-0005-0000-0000-00000C000000}"/>
    <cellStyle name="20% - akcent 4 2" xfId="14" xr:uid="{00000000-0005-0000-0000-00000D000000}"/>
    <cellStyle name="20% - akcent 5 2" xfId="15" xr:uid="{00000000-0005-0000-0000-00000E000000}"/>
    <cellStyle name="20% - akcent 6 2" xfId="16" xr:uid="{00000000-0005-0000-0000-00000F000000}"/>
    <cellStyle name="40% - Accent1" xfId="17" xr:uid="{00000000-0005-0000-0000-000010000000}"/>
    <cellStyle name="40% - Accent2" xfId="18" xr:uid="{00000000-0005-0000-0000-000011000000}"/>
    <cellStyle name="40% - Accent3" xfId="19" xr:uid="{00000000-0005-0000-0000-000012000000}"/>
    <cellStyle name="40% - Accent4" xfId="20" xr:uid="{00000000-0005-0000-0000-000013000000}"/>
    <cellStyle name="40% - Accent5" xfId="21" xr:uid="{00000000-0005-0000-0000-000014000000}"/>
    <cellStyle name="40% - Accent6" xfId="22" xr:uid="{00000000-0005-0000-0000-000015000000}"/>
    <cellStyle name="40% - akcent 1 2" xfId="23" xr:uid="{00000000-0005-0000-0000-000016000000}"/>
    <cellStyle name="40% - akcent 2 2" xfId="24" xr:uid="{00000000-0005-0000-0000-000017000000}"/>
    <cellStyle name="40% - akcent 3 2" xfId="25" xr:uid="{00000000-0005-0000-0000-000018000000}"/>
    <cellStyle name="40% - akcent 4 2" xfId="26" xr:uid="{00000000-0005-0000-0000-000019000000}"/>
    <cellStyle name="40% - akcent 5 2" xfId="27" xr:uid="{00000000-0005-0000-0000-00001A000000}"/>
    <cellStyle name="40% - akcent 6 2" xfId="28" xr:uid="{00000000-0005-0000-0000-00001B000000}"/>
    <cellStyle name="60% - Accent1" xfId="29" xr:uid="{00000000-0005-0000-0000-00001C000000}"/>
    <cellStyle name="60% - Accent2" xfId="30" xr:uid="{00000000-0005-0000-0000-00001D000000}"/>
    <cellStyle name="60% - Accent3" xfId="31" xr:uid="{00000000-0005-0000-0000-00001E000000}"/>
    <cellStyle name="60% - Accent4" xfId="32" xr:uid="{00000000-0005-0000-0000-00001F000000}"/>
    <cellStyle name="60% - Accent5" xfId="33" xr:uid="{00000000-0005-0000-0000-000020000000}"/>
    <cellStyle name="60% - Accent6" xfId="34" xr:uid="{00000000-0005-0000-0000-000021000000}"/>
    <cellStyle name="60% - akcent 1 2" xfId="35" xr:uid="{00000000-0005-0000-0000-000022000000}"/>
    <cellStyle name="60% - akcent 2 2" xfId="36" xr:uid="{00000000-0005-0000-0000-000023000000}"/>
    <cellStyle name="60% - akcent 3 2" xfId="37" xr:uid="{00000000-0005-0000-0000-000024000000}"/>
    <cellStyle name="60% - akcent 4 2" xfId="38" xr:uid="{00000000-0005-0000-0000-000025000000}"/>
    <cellStyle name="60% - akcent 5 2" xfId="39" xr:uid="{00000000-0005-0000-0000-000026000000}"/>
    <cellStyle name="60% - akcent 6 2" xfId="40" xr:uid="{00000000-0005-0000-0000-000027000000}"/>
    <cellStyle name="Accent1" xfId="41" xr:uid="{00000000-0005-0000-0000-000028000000}"/>
    <cellStyle name="Accent2" xfId="42" xr:uid="{00000000-0005-0000-0000-000029000000}"/>
    <cellStyle name="Accent3" xfId="43" xr:uid="{00000000-0005-0000-0000-00002A000000}"/>
    <cellStyle name="Accent4" xfId="44" xr:uid="{00000000-0005-0000-0000-00002B000000}"/>
    <cellStyle name="Accent5" xfId="45" xr:uid="{00000000-0005-0000-0000-00002C000000}"/>
    <cellStyle name="Accent6" xfId="46" xr:uid="{00000000-0005-0000-0000-00002D000000}"/>
    <cellStyle name="Akcent 1" xfId="47" builtinId="29" customBuiltin="1"/>
    <cellStyle name="Akcent 1 2" xfId="48" xr:uid="{00000000-0005-0000-0000-00002F000000}"/>
    <cellStyle name="Akcent 2" xfId="49" builtinId="33" customBuiltin="1"/>
    <cellStyle name="Akcent 2 2" xfId="50" xr:uid="{00000000-0005-0000-0000-000031000000}"/>
    <cellStyle name="Akcent 3" xfId="51" builtinId="37" customBuiltin="1"/>
    <cellStyle name="Akcent 3 2" xfId="52" xr:uid="{00000000-0005-0000-0000-000033000000}"/>
    <cellStyle name="Akcent 4" xfId="53" builtinId="41" customBuiltin="1"/>
    <cellStyle name="Akcent 4 2" xfId="54" xr:uid="{00000000-0005-0000-0000-000035000000}"/>
    <cellStyle name="Akcent 5" xfId="55" builtinId="45" customBuiltin="1"/>
    <cellStyle name="Akcent 5 2" xfId="56" xr:uid="{00000000-0005-0000-0000-000037000000}"/>
    <cellStyle name="Akcent 6" xfId="57" builtinId="49" customBuiltin="1"/>
    <cellStyle name="Akcent 6 2" xfId="58" xr:uid="{00000000-0005-0000-0000-000039000000}"/>
    <cellStyle name="Bad" xfId="59" xr:uid="{00000000-0005-0000-0000-00003A000000}"/>
    <cellStyle name="Calculation" xfId="60" xr:uid="{00000000-0005-0000-0000-00003B000000}"/>
    <cellStyle name="Cezar" xfId="61" xr:uid="{00000000-0005-0000-0000-00003C000000}"/>
    <cellStyle name="Check Cell" xfId="62" xr:uid="{00000000-0005-0000-0000-00003D000000}"/>
    <cellStyle name="Comma [0] 1" xfId="63" xr:uid="{00000000-0005-0000-0000-00003E000000}"/>
    <cellStyle name="Comma 1" xfId="64" xr:uid="{00000000-0005-0000-0000-00003F000000}"/>
    <cellStyle name="Comma_~0043354" xfId="65" xr:uid="{00000000-0005-0000-0000-000040000000}"/>
    <cellStyle name="Comma0" xfId="66" xr:uid="{00000000-0005-0000-0000-000041000000}"/>
    <cellStyle name="Currency [0] 1" xfId="67" xr:uid="{00000000-0005-0000-0000-000042000000}"/>
    <cellStyle name="Currency 1" xfId="68" xr:uid="{00000000-0005-0000-0000-000043000000}"/>
    <cellStyle name="Currency_~0043354" xfId="69" xr:uid="{00000000-0005-0000-0000-000044000000}"/>
    <cellStyle name="Currency0" xfId="70" xr:uid="{00000000-0005-0000-0000-000045000000}"/>
    <cellStyle name="Dane wejściowe" xfId="71" builtinId="20" customBuiltin="1"/>
    <cellStyle name="Dane wejściowe 2" xfId="72" xr:uid="{00000000-0005-0000-0000-000047000000}"/>
    <cellStyle name="Dane wyjściowe" xfId="73" builtinId="21" customBuiltin="1"/>
    <cellStyle name="Dane wyjściowe 2" xfId="74" xr:uid="{00000000-0005-0000-0000-000049000000}"/>
    <cellStyle name="Data" xfId="75" xr:uid="{00000000-0005-0000-0000-00004A000000}"/>
    <cellStyle name="Date" xfId="76" xr:uid="{00000000-0005-0000-0000-00004B000000}"/>
    <cellStyle name="Dobre 2" xfId="77" xr:uid="{00000000-0005-0000-0000-00004C000000}"/>
    <cellStyle name="Euro" xfId="78" xr:uid="{00000000-0005-0000-0000-00004D000000}"/>
    <cellStyle name="Explanatory Text" xfId="79" xr:uid="{00000000-0005-0000-0000-00004E000000}"/>
    <cellStyle name="Fixed" xfId="80" xr:uid="{00000000-0005-0000-0000-00004F000000}"/>
    <cellStyle name="fx_rates" xfId="81" xr:uid="{00000000-0005-0000-0000-000050000000}"/>
    <cellStyle name="Good" xfId="82" xr:uid="{00000000-0005-0000-0000-000051000000}"/>
    <cellStyle name="Hard Input" xfId="83" xr:uid="{00000000-0005-0000-0000-000052000000}"/>
    <cellStyle name="hard input percent" xfId="84" xr:uid="{00000000-0005-0000-0000-000053000000}"/>
    <cellStyle name="Hard Input_zużycia" xfId="85" xr:uid="{00000000-0005-0000-0000-000054000000}"/>
    <cellStyle name="Hard No" xfId="86" xr:uid="{00000000-0005-0000-0000-000055000000}"/>
    <cellStyle name="hard no." xfId="87" xr:uid="{00000000-0005-0000-0000-000056000000}"/>
    <cellStyle name="Heading 1" xfId="88" xr:uid="{00000000-0005-0000-0000-000057000000}"/>
    <cellStyle name="Heading 1 2" xfId="89" xr:uid="{00000000-0005-0000-0000-000058000000}"/>
    <cellStyle name="Heading 2" xfId="90" xr:uid="{00000000-0005-0000-0000-000059000000}"/>
    <cellStyle name="Heading 2 2" xfId="91" xr:uid="{00000000-0005-0000-0000-00005A000000}"/>
    <cellStyle name="Heading 3" xfId="92" xr:uid="{00000000-0005-0000-0000-00005B000000}"/>
    <cellStyle name="Heading 4" xfId="93" xr:uid="{00000000-0005-0000-0000-00005C000000}"/>
    <cellStyle name="Heading1" xfId="94" xr:uid="{00000000-0005-0000-0000-00005D000000}"/>
    <cellStyle name="Heading2" xfId="95" xr:uid="{00000000-0005-0000-0000-00005E000000}"/>
    <cellStyle name="Hiperłącze" xfId="96" builtinId="8"/>
    <cellStyle name="Hiperłącze 2" xfId="97" xr:uid="{00000000-0005-0000-0000-000060000000}"/>
    <cellStyle name="Hypertextový odkaz" xfId="98" xr:uid="{00000000-0005-0000-0000-000061000000}"/>
    <cellStyle name="Input" xfId="99" xr:uid="{00000000-0005-0000-0000-000062000000}"/>
    <cellStyle name="Komórka połączona" xfId="100" builtinId="24" customBuiltin="1"/>
    <cellStyle name="Komórka połączona 2" xfId="101" xr:uid="{00000000-0005-0000-0000-000064000000}"/>
    <cellStyle name="Komórka zaznaczona" xfId="102" builtinId="23" customBuiltin="1"/>
    <cellStyle name="Komórka zaznaczona 2" xfId="103" xr:uid="{00000000-0005-0000-0000-000066000000}"/>
    <cellStyle name="Linked Cell" xfId="104" xr:uid="{00000000-0005-0000-0000-000067000000}"/>
    <cellStyle name="MAND_x000d_CHECK.COMMAND_x000e_RENAME.COMMAND_x0008_SHOW.BAR_x000b_DELETE.MENU_x000e_DELETE.COMMAND_x000e_GET.CHA" xfId="105" xr:uid="{00000000-0005-0000-0000-000068000000}"/>
    <cellStyle name="MAND_x000d_CHECK.COMMAND_x000e_RENAME.COMMAND_x0008_SHOW.BAR_x000b_DELETE.MENU_x000e_DELETE.COMMAND_x000e_GET.CHA 2" xfId="106" xr:uid="{00000000-0005-0000-0000-000069000000}"/>
    <cellStyle name="MAND_x000d_CHECK.COMMAND_x000e_RENAME.COMMAND_x0008_SHOW.BAR_x000b_DELETE.MENU_x000e_DELETE.COMMAND_x000e_GET.CHA 3" xfId="107" xr:uid="{00000000-0005-0000-0000-00006A000000}"/>
    <cellStyle name="MAND_x000d_CHECK.COMMAND_x000e_RENAME.COMMAND_x0008_SHOW.BAR_x000b_DELETE.MENU_x000e_DELETE.COMMAND_x000e_GET.CHA_nota kredyty" xfId="108" xr:uid="{00000000-0005-0000-0000-00006B000000}"/>
    <cellStyle name="měny_laroux" xfId="109" xr:uid="{00000000-0005-0000-0000-00006C000000}"/>
    <cellStyle name="multiple" xfId="110" xr:uid="{00000000-0005-0000-0000-00006D000000}"/>
    <cellStyle name="Nagłówek 1" xfId="111" builtinId="16" customBuiltin="1"/>
    <cellStyle name="Nagłówek 1 2" xfId="112" xr:uid="{00000000-0005-0000-0000-00006F000000}"/>
    <cellStyle name="Nagłówek 2" xfId="113" builtinId="17" customBuiltin="1"/>
    <cellStyle name="Nagłówek 2 2" xfId="114" xr:uid="{00000000-0005-0000-0000-000071000000}"/>
    <cellStyle name="Nagłówek 3" xfId="115" builtinId="18" customBuiltin="1"/>
    <cellStyle name="Nagłówek 3 2" xfId="116" xr:uid="{00000000-0005-0000-0000-000073000000}"/>
    <cellStyle name="Nagłówek 4" xfId="117" builtinId="19" customBuiltin="1"/>
    <cellStyle name="Nagłówek 4 2" xfId="118" xr:uid="{00000000-0005-0000-0000-000075000000}"/>
    <cellStyle name="Neutral" xfId="119" xr:uid="{00000000-0005-0000-0000-000076000000}"/>
    <cellStyle name="Neutralne 2" xfId="120" xr:uid="{00000000-0005-0000-0000-000077000000}"/>
    <cellStyle name="Normal_(5)_Noty PKN jednostkowy 31 12 2000" xfId="121" xr:uid="{00000000-0005-0000-0000-000078000000}"/>
    <cellStyle name="normální_laroux" xfId="122" xr:uid="{00000000-0005-0000-0000-000079000000}"/>
    <cellStyle name="Normalny" xfId="0" builtinId="0"/>
    <cellStyle name="Normalny 12" xfId="123" xr:uid="{00000000-0005-0000-0000-00007B000000}"/>
    <cellStyle name="Normalny 2" xfId="124" xr:uid="{00000000-0005-0000-0000-00007C000000}"/>
    <cellStyle name="Normalny 2 2" xfId="125" xr:uid="{00000000-0005-0000-0000-00007D000000}"/>
    <cellStyle name="Normalny 3" xfId="126" xr:uid="{00000000-0005-0000-0000-00007E000000}"/>
    <cellStyle name="Normalny 4" xfId="127" xr:uid="{00000000-0005-0000-0000-00007F000000}"/>
    <cellStyle name="Normalny 5" xfId="128" xr:uid="{00000000-0005-0000-0000-000080000000}"/>
    <cellStyle name="Normalny_!!!Q&amp;A_Q2'06" xfId="129" xr:uid="{00000000-0005-0000-0000-000081000000}"/>
    <cellStyle name="Normalny_Agregacja propozycje" xfId="130" xr:uid="{00000000-0005-0000-0000-000082000000}"/>
    <cellStyle name="Normalny_I SA-QSr 2002" xfId="131" xr:uid="{00000000-0005-0000-0000-000083000000}"/>
    <cellStyle name="Normalny_Komentarz segmenty III 07" xfId="132" xr:uid="{00000000-0005-0000-0000-000084000000}"/>
    <cellStyle name="Normalny_MR_Excel do MSR IIQ 13 v HP SKONS" xfId="202" xr:uid="{00000000-0005-0000-0000-000085000000}"/>
    <cellStyle name="Normalny_Pierwsza strona" xfId="133" xr:uid="{00000000-0005-0000-0000-000086000000}"/>
    <cellStyle name="Normalny_Produkcja_2006" xfId="134" xr:uid="{00000000-0005-0000-0000-000087000000}"/>
    <cellStyle name="Normalny_Q4_2005_macro" xfId="204" xr:uid="{EB81CB71-C7A4-4029-9C2A-784A39E13BF2}"/>
    <cellStyle name="Note" xfId="135" xr:uid="{00000000-0005-0000-0000-000088000000}"/>
    <cellStyle name="Obliczenia" xfId="136" builtinId="22" customBuiltin="1"/>
    <cellStyle name="Obliczenia 2" xfId="137" xr:uid="{00000000-0005-0000-0000-00008A000000}"/>
    <cellStyle name="Output" xfId="138" xr:uid="{00000000-0005-0000-0000-00008B000000}"/>
    <cellStyle name="Percent 1" xfId="139" xr:uid="{00000000-0005-0000-0000-00008C000000}"/>
    <cellStyle name="prem/disc" xfId="140" xr:uid="{00000000-0005-0000-0000-00008D000000}"/>
    <cellStyle name="Procentowy" xfId="203" builtinId="5"/>
    <cellStyle name="Procentowy 2" xfId="141" xr:uid="{00000000-0005-0000-0000-00008E000000}"/>
    <cellStyle name="Procentowy 3" xfId="142" xr:uid="{00000000-0005-0000-0000-00008F000000}"/>
    <cellStyle name="SAPBEXaggData" xfId="143" xr:uid="{00000000-0005-0000-0000-000090000000}"/>
    <cellStyle name="SAPBEXaggDataEmph" xfId="144" xr:uid="{00000000-0005-0000-0000-000091000000}"/>
    <cellStyle name="SAPBEXaggItem" xfId="145" xr:uid="{00000000-0005-0000-0000-000092000000}"/>
    <cellStyle name="SAPBEXaggItemX" xfId="146" xr:uid="{00000000-0005-0000-0000-000093000000}"/>
    <cellStyle name="SAPBEXchaText" xfId="147" xr:uid="{00000000-0005-0000-0000-000094000000}"/>
    <cellStyle name="SAPBEXexcBad7" xfId="148" xr:uid="{00000000-0005-0000-0000-000095000000}"/>
    <cellStyle name="SAPBEXexcBad8" xfId="149" xr:uid="{00000000-0005-0000-0000-000096000000}"/>
    <cellStyle name="SAPBEXexcBad9" xfId="150" xr:uid="{00000000-0005-0000-0000-000097000000}"/>
    <cellStyle name="SAPBEXexcCritical4" xfId="151" xr:uid="{00000000-0005-0000-0000-000098000000}"/>
    <cellStyle name="SAPBEXexcCritical5" xfId="152" xr:uid="{00000000-0005-0000-0000-000099000000}"/>
    <cellStyle name="SAPBEXexcCritical6" xfId="153" xr:uid="{00000000-0005-0000-0000-00009A000000}"/>
    <cellStyle name="SAPBEXexcGood1" xfId="154" xr:uid="{00000000-0005-0000-0000-00009B000000}"/>
    <cellStyle name="SAPBEXexcGood2" xfId="155" xr:uid="{00000000-0005-0000-0000-00009C000000}"/>
    <cellStyle name="SAPBEXexcGood3" xfId="156" xr:uid="{00000000-0005-0000-0000-00009D000000}"/>
    <cellStyle name="SAPBEXfilterDrill" xfId="157" xr:uid="{00000000-0005-0000-0000-00009E000000}"/>
    <cellStyle name="SAPBEXfilterItem" xfId="158" xr:uid="{00000000-0005-0000-0000-00009F000000}"/>
    <cellStyle name="SAPBEXfilterText" xfId="159" xr:uid="{00000000-0005-0000-0000-0000A0000000}"/>
    <cellStyle name="SAPBEXformats" xfId="160" xr:uid="{00000000-0005-0000-0000-0000A1000000}"/>
    <cellStyle name="SAPBEXheaderItem" xfId="161" xr:uid="{00000000-0005-0000-0000-0000A2000000}"/>
    <cellStyle name="SAPBEXheaderText" xfId="162" xr:uid="{00000000-0005-0000-0000-0000A3000000}"/>
    <cellStyle name="SAPBEXHLevel0" xfId="163" xr:uid="{00000000-0005-0000-0000-0000A4000000}"/>
    <cellStyle name="SAPBEXHLevel0X" xfId="164" xr:uid="{00000000-0005-0000-0000-0000A5000000}"/>
    <cellStyle name="SAPBEXHLevel1" xfId="165" xr:uid="{00000000-0005-0000-0000-0000A6000000}"/>
    <cellStyle name="SAPBEXHLevel1X" xfId="166" xr:uid="{00000000-0005-0000-0000-0000A7000000}"/>
    <cellStyle name="SAPBEXHLevel2" xfId="167" xr:uid="{00000000-0005-0000-0000-0000A8000000}"/>
    <cellStyle name="SAPBEXHLevel2X" xfId="168" xr:uid="{00000000-0005-0000-0000-0000A9000000}"/>
    <cellStyle name="SAPBEXHLevel3" xfId="169" xr:uid="{00000000-0005-0000-0000-0000AA000000}"/>
    <cellStyle name="SAPBEXHLevel3X" xfId="170" xr:uid="{00000000-0005-0000-0000-0000AB000000}"/>
    <cellStyle name="SAPBEXresData" xfId="171" xr:uid="{00000000-0005-0000-0000-0000AC000000}"/>
    <cellStyle name="SAPBEXresDataEmph" xfId="172" xr:uid="{00000000-0005-0000-0000-0000AD000000}"/>
    <cellStyle name="SAPBEXresItem" xfId="173" xr:uid="{00000000-0005-0000-0000-0000AE000000}"/>
    <cellStyle name="SAPBEXresItemX" xfId="174" xr:uid="{00000000-0005-0000-0000-0000AF000000}"/>
    <cellStyle name="SAPBEXstdData" xfId="175" xr:uid="{00000000-0005-0000-0000-0000B0000000}"/>
    <cellStyle name="SAPBEXstdDataEmph" xfId="176" xr:uid="{00000000-0005-0000-0000-0000B1000000}"/>
    <cellStyle name="SAPBEXstdItem" xfId="177" xr:uid="{00000000-0005-0000-0000-0000B2000000}"/>
    <cellStyle name="SAPBEXstdItemX" xfId="178" xr:uid="{00000000-0005-0000-0000-0000B3000000}"/>
    <cellStyle name="SAPBEXtitle" xfId="179" xr:uid="{00000000-0005-0000-0000-0000B4000000}"/>
    <cellStyle name="SAPBEXundefined" xfId="180" xr:uid="{00000000-0005-0000-0000-0000B5000000}"/>
    <cellStyle name="Sledovaný hypertextový odkaz" xfId="181" xr:uid="{00000000-0005-0000-0000-0000B6000000}"/>
    <cellStyle name="Standard_crudeFWD" xfId="182" xr:uid="{00000000-0005-0000-0000-0000B7000000}"/>
    <cellStyle name="Styl 1" xfId="183" xr:uid="{00000000-0005-0000-0000-0000B8000000}"/>
    <cellStyle name="Suma" xfId="184" builtinId="25" customBuiltin="1"/>
    <cellStyle name="Suma 2" xfId="185" xr:uid="{00000000-0005-0000-0000-0000BA000000}"/>
    <cellStyle name="Tekst objaśnienia" xfId="186" builtinId="53" customBuiltin="1"/>
    <cellStyle name="Tekst objaśnienia 2" xfId="187" xr:uid="{00000000-0005-0000-0000-0000BC000000}"/>
    <cellStyle name="Tekst ostrzeżenia" xfId="188" builtinId="11" customBuiltin="1"/>
    <cellStyle name="Tekst ostrzeżenia 2" xfId="189" xr:uid="{00000000-0005-0000-0000-0000BE000000}"/>
    <cellStyle name="Title" xfId="190" xr:uid="{00000000-0005-0000-0000-0000BF000000}"/>
    <cellStyle name="Total" xfId="191" xr:uid="{00000000-0005-0000-0000-0000C0000000}"/>
    <cellStyle name="Total 2" xfId="192" xr:uid="{00000000-0005-0000-0000-0000C1000000}"/>
    <cellStyle name="Tytuł" xfId="193" builtinId="15" customBuiltin="1"/>
    <cellStyle name="Tytuł 2" xfId="194" xr:uid="{00000000-0005-0000-0000-0000C3000000}"/>
    <cellStyle name="U$" xfId="195" xr:uid="{00000000-0005-0000-0000-0000C4000000}"/>
    <cellStyle name="Uwaga" xfId="196" builtinId="10" customBuiltin="1"/>
    <cellStyle name="Uwaga 2" xfId="197" xr:uid="{00000000-0005-0000-0000-0000C6000000}"/>
    <cellStyle name="Warning Text" xfId="198" xr:uid="{00000000-0005-0000-0000-0000C7000000}"/>
    <cellStyle name="Year" xfId="199" xr:uid="{00000000-0005-0000-0000-0000C8000000}"/>
    <cellStyle name="Zlotty" xfId="200" xr:uid="{00000000-0005-0000-0000-0000C9000000}"/>
    <cellStyle name="Złe 2" xfId="201" xr:uid="{00000000-0005-0000-0000-0000CA000000}"/>
  </cellStyles>
  <dxfs count="132">
    <dxf>
      <font>
        <color rgb="FF9C0006"/>
      </font>
    </dxf>
    <dxf>
      <font>
        <color rgb="FF9C0006"/>
      </font>
    </dxf>
    <dxf>
      <font>
        <color rgb="FF9C0006"/>
      </font>
    </dxf>
    <dxf>
      <font>
        <color rgb="FF9C0006"/>
      </font>
    </dxf>
    <dxf>
      <font>
        <color theme="0"/>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dxf>
    <dxf>
      <fill>
        <patternFill>
          <bgColor rgb="FFFF0000"/>
        </patternFill>
      </fill>
    </dxf>
    <dxf>
      <fill>
        <patternFill>
          <bgColor rgb="FFFF0000"/>
        </patternFill>
      </fill>
    </dxf>
    <dxf>
      <fill>
        <patternFill>
          <bgColor rgb="FFFF0000"/>
        </patternFill>
      </fill>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dxf>
    <dxf>
      <fill>
        <patternFill>
          <bgColor rgb="FFFF00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ill>
        <patternFill>
          <bgColor rgb="FFFF0000"/>
        </patternFill>
      </fill>
    </dxf>
    <dxf>
      <font>
        <color rgb="FF9C0006"/>
      </font>
    </dxf>
    <dxf>
      <font>
        <color rgb="FF9C0006"/>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B050"/>
      </font>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4.xml"/><Relationship Id="rId68" Type="http://schemas.openxmlformats.org/officeDocument/2006/relationships/externalLink" Target="externalLinks/externalLink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5.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5.xml"/><Relationship Id="rId69" Type="http://schemas.openxmlformats.org/officeDocument/2006/relationships/externalLink" Target="externalLinks/externalLink10.xml"/><Relationship Id="rId77" Type="http://schemas.openxmlformats.org/officeDocument/2006/relationships/externalLink" Target="externalLinks/externalLink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3.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70" Type="http://schemas.openxmlformats.org/officeDocument/2006/relationships/externalLink" Target="externalLinks/externalLink11.xml"/><Relationship Id="rId75"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externalLink" Target="externalLinks/externalLink6.xml"/><Relationship Id="rId73" Type="http://schemas.openxmlformats.org/officeDocument/2006/relationships/externalLink" Target="externalLinks/externalLink14.xml"/><Relationship Id="rId78" Type="http://schemas.openxmlformats.org/officeDocument/2006/relationships/externalLink" Target="externalLinks/externalLink19.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7.xml"/><Relationship Id="rId7" Type="http://schemas.openxmlformats.org/officeDocument/2006/relationships/worksheet" Target="worksheets/sheet7.xml"/><Relationship Id="rId71" Type="http://schemas.openxmlformats.org/officeDocument/2006/relationships/externalLink" Target="externalLinks/externalLink1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390525</xdr:colOff>
      <xdr:row>0</xdr:row>
      <xdr:rowOff>28575</xdr:rowOff>
    </xdr:from>
    <xdr:to>
      <xdr:col>11</xdr:col>
      <xdr:colOff>504825</xdr:colOff>
      <xdr:row>3</xdr:row>
      <xdr:rowOff>95250</xdr:rowOff>
    </xdr:to>
    <xdr:pic>
      <xdr:nvPicPr>
        <xdr:cNvPr id="37394" name="Obraz 2" descr="!_Logo.png">
          <a:extLst>
            <a:ext uri="{FF2B5EF4-FFF2-40B4-BE49-F238E27FC236}">
              <a16:creationId xmlns:a16="http://schemas.microsoft.com/office/drawing/2014/main" id="{00000000-0008-0000-0200-0000129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1525" y="285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22411</xdr:colOff>
      <xdr:row>5</xdr:row>
      <xdr:rowOff>246529</xdr:rowOff>
    </xdr:from>
    <xdr:to>
      <xdr:col>12</xdr:col>
      <xdr:colOff>28573</xdr:colOff>
      <xdr:row>64</xdr:row>
      <xdr:rowOff>9525</xdr:rowOff>
    </xdr:to>
    <xdr:pic>
      <xdr:nvPicPr>
        <xdr:cNvPr id="4" name="Obraz 3" descr="D:\Dane\Chojnowski\Downloads\IMG-8269-jpg.jp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136" y="1399054"/>
          <a:ext cx="6102162" cy="120216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523875</xdr:colOff>
      <xdr:row>0</xdr:row>
      <xdr:rowOff>47625</xdr:rowOff>
    </xdr:from>
    <xdr:to>
      <xdr:col>16</xdr:col>
      <xdr:colOff>571500</xdr:colOff>
      <xdr:row>3</xdr:row>
      <xdr:rowOff>285750</xdr:rowOff>
    </xdr:to>
    <xdr:pic>
      <xdr:nvPicPr>
        <xdr:cNvPr id="38419" name="Obraz 2" descr="!_Logo.png">
          <a:extLst>
            <a:ext uri="{FF2B5EF4-FFF2-40B4-BE49-F238E27FC236}">
              <a16:creationId xmlns:a16="http://schemas.microsoft.com/office/drawing/2014/main" id="{00000000-0008-0000-0300-0000139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8275" y="4762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66674</xdr:colOff>
      <xdr:row>10</xdr:row>
      <xdr:rowOff>9525</xdr:rowOff>
    </xdr:from>
    <xdr:to>
      <xdr:col>16</xdr:col>
      <xdr:colOff>552450</xdr:colOff>
      <xdr:row>35</xdr:row>
      <xdr:rowOff>126365</xdr:rowOff>
    </xdr:to>
    <xdr:pic>
      <xdr:nvPicPr>
        <xdr:cNvPr id="4" name="Obraz 3" descr="D:\Dane\Chojnowski\Desktop\ORLEN_Paraksylen_.jp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4" y="1943100"/>
          <a:ext cx="9696451" cy="41649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523875</xdr:colOff>
      <xdr:row>0</xdr:row>
      <xdr:rowOff>47625</xdr:rowOff>
    </xdr:from>
    <xdr:to>
      <xdr:col>16</xdr:col>
      <xdr:colOff>571500</xdr:colOff>
      <xdr:row>3</xdr:row>
      <xdr:rowOff>285750</xdr:rowOff>
    </xdr:to>
    <xdr:pic>
      <xdr:nvPicPr>
        <xdr:cNvPr id="39443" name="Obraz 3" descr="!_Logo.png">
          <a:extLst>
            <a:ext uri="{FF2B5EF4-FFF2-40B4-BE49-F238E27FC236}">
              <a16:creationId xmlns:a16="http://schemas.microsoft.com/office/drawing/2014/main" id="{00000000-0008-0000-0600-0000139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8275" y="4762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10</xdr:row>
      <xdr:rowOff>28575</xdr:rowOff>
    </xdr:from>
    <xdr:to>
      <xdr:col>16</xdr:col>
      <xdr:colOff>590550</xdr:colOff>
      <xdr:row>35</xdr:row>
      <xdr:rowOff>130175</xdr:rowOff>
    </xdr:to>
    <xdr:pic>
      <xdr:nvPicPr>
        <xdr:cNvPr id="4" name="Obraz 3" descr="D:\Dane\Chojnowski\Desktop\ORLEN_farmy_wiatrowe_Przykona__2.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962150"/>
          <a:ext cx="9734550" cy="41497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533400</xdr:colOff>
      <xdr:row>0</xdr:row>
      <xdr:rowOff>66675</xdr:rowOff>
    </xdr:from>
    <xdr:to>
      <xdr:col>15</xdr:col>
      <xdr:colOff>38100</xdr:colOff>
      <xdr:row>3</xdr:row>
      <xdr:rowOff>304800</xdr:rowOff>
    </xdr:to>
    <xdr:pic>
      <xdr:nvPicPr>
        <xdr:cNvPr id="40465" name="Obraz 2" descr="!_Logo.png">
          <a:extLst>
            <a:ext uri="{FF2B5EF4-FFF2-40B4-BE49-F238E27FC236}">
              <a16:creationId xmlns:a16="http://schemas.microsoft.com/office/drawing/2014/main" id="{00000000-0008-0000-1100-0000119E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8200" y="666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11</xdr:row>
      <xdr:rowOff>19051</xdr:rowOff>
    </xdr:from>
    <xdr:to>
      <xdr:col>15</xdr:col>
      <xdr:colOff>38100</xdr:colOff>
      <xdr:row>35</xdr:row>
      <xdr:rowOff>124461</xdr:rowOff>
    </xdr:to>
    <xdr:pic>
      <xdr:nvPicPr>
        <xdr:cNvPr id="5" name="Obraz 4" descr="D:\Dane\Chojnowski\Desktop\ORLEN_Centrum_Badawczo_Rozwojowe_4.jpg">
          <a:extLst>
            <a:ext uri="{FF2B5EF4-FFF2-40B4-BE49-F238E27FC236}">
              <a16:creationId xmlns:a16="http://schemas.microsoft.com/office/drawing/2014/main" id="{00000000-0008-0000-11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114551"/>
          <a:ext cx="9134475" cy="399161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514350</xdr:colOff>
      <xdr:row>1</xdr:row>
      <xdr:rowOff>57150</xdr:rowOff>
    </xdr:from>
    <xdr:to>
      <xdr:col>15</xdr:col>
      <xdr:colOff>19050</xdr:colOff>
      <xdr:row>3</xdr:row>
      <xdr:rowOff>457200</xdr:rowOff>
    </xdr:to>
    <xdr:pic>
      <xdr:nvPicPr>
        <xdr:cNvPr id="4" name="Obraz 2" descr="!_Logo.png">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219075"/>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47624</xdr:colOff>
      <xdr:row>11</xdr:row>
      <xdr:rowOff>28575</xdr:rowOff>
    </xdr:from>
    <xdr:to>
      <xdr:col>15</xdr:col>
      <xdr:colOff>28575</xdr:colOff>
      <xdr:row>35</xdr:row>
      <xdr:rowOff>139065</xdr:rowOff>
    </xdr:to>
    <xdr:pic>
      <xdr:nvPicPr>
        <xdr:cNvPr id="5" name="Obraz 4" descr="D:\Dane\Chojnowski\Desktop\Bystrowice__6.jpg">
          <a:extLst>
            <a:ext uri="{FF2B5EF4-FFF2-40B4-BE49-F238E27FC236}">
              <a16:creationId xmlns:a16="http://schemas.microsoft.com/office/drawing/2014/main" id="{00000000-0008-0000-1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4" y="2124075"/>
          <a:ext cx="9124951" cy="39966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as1\public\Moje%20dokumenty\EXCEL\TWORZYWA\ICIS\Notowania%20PP_P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azahozott\TVK\WINNT\Profiles\RENDSZERGAZDA\Asztal\NYBB\Egy&#233;b%20vegyipar\Vegyipari%20seg&#233;dlet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oje%20dokumenty\planpro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placadm1\Public\DATA\PKN\PKN\31%2012%2099%20YE\Raport%20-%20agregacja\ZAL_02\wylaczenia_31_12_99%20Oddzialy%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lacadm1\Public\AUDIT\P\Pkn%20ORLEN\2000\31%2012%202000%20YE\Oddzialy\Zaklad%20Glowny\SA-R%2031_12_00_zaklad%20glown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lacadm1\Public\fks\wsp&#243;lny\2007\p&#243;&#322;rocze%20(Tajemnica%20Sp&#243;&#322;ki)\konsolidowane\T2,T1\T1\Trzebinia\TrzebiniaS%2030.06.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lacadm1\Public\31%2012%202001%20YE\31.12.2001%20YE\Konsolidacja\Orlen%20Remont\Orlen%20Remont%2031.1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50014109\2001\30_06_01%20HY\Konsolidacja\ZG%20SA-R%2030.06.2001%20ol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l-m-walaszek\31.12.2002\Piotr\Piotr%2010.03.2003\31_12_02%20YE\raporty_2002\YE_2002\jednostkowe\PL\per%20PKN\Old\FEJS%2030.06.20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placadm1\Public\Nowy%20folder%20(2)\Anwil\AnwilS%2031.12.01.xls"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bplanet22.orlen.pl\Projects\DF\TS\FS\SSK\2025\IV%20KWARTA&#321;%202025\Excel%20IVQ%20v%20HP\MR_Excel%20do%20MSR%20IVQ%2025%20v%20HP%20SKONS.xlsx" TargetMode="External"/><Relationship Id="rId1" Type="http://schemas.openxmlformats.org/officeDocument/2006/relationships/externalLinkPath" Target="file:///\\bplanet22.orlen.pl\Projects\DF\TS\FS\SSK\2025\IV%20KWARTA&#321;%202025\Excel%20IVQ%20v%20HP\MR_Excel%20do%20MSR%20IVQ%2025%20v%20HP%20SK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50014109\2000\AUDIT\C\Cpn\prywatyzacja\Oddzialy\to%20copy%20poprawione\Oddzial1_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lacadm1\Public\fks\wsp&#243;lny\2003\roczne%202003%20%20(Tajemnica%20Sp&#243;&#322;ki)\Obublikowane%20Roczne%20Sprawozdanie%20Jednostkowe%2031.12.2003\Konsolidacja\Petrolot\Petrolot%2031.12.%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ql_server\r3\AUDIT\P\Pkn%20ORLEN\2000\30%2009%202000%20Q3\Skonsolidowany\Petroprofit\dodaktow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lacadm1\Public\fks\wsp&#243;lny\2003\roczne%202003%20%20(Tajemnica%20Sp&#243;&#322;ki)\Obublikowane%20Roczne%20Sprawozdanie%20Jednostkowe%2031.12.2003\SAR%20znowelizowana%20ustawa%20v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50014109\2000\AUDIT\C\Cpn\prywatyzacja\Oddzialy\Oddzial_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lacadm1\Public\fks\wsp&#243;lny\2003\roczne%202003%20%20(Tajemnica%20Sp&#243;&#322;ki)\Obublikowane%20Roczne%20Sprawozdanie%20Jednostkowe%2031.12.2003\FEJS%2030.06.2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placadm1\Public\fks\wsp&#243;lny\2002\roczne\Skonsolidowane\FEJS%2030.06.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ql_server\r3\AUDIT\P\Pkn%20ORLEN\2000\30%2009%202000%20Q3\Skonsolidowany\Petroprofit\SAR_PKN_SKONSOLIDOWANE_0699_do%20wydru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9)"/>
      <sheetName val="Arkusz2"/>
      <sheetName val="Notowania PE i PP"/>
      <sheetName val="Arkusz1 (8)"/>
      <sheetName val="Arkusz1 (7)"/>
      <sheetName val="Arkusz1 (6)"/>
      <sheetName val="Arkusz1 (2)"/>
      <sheetName val="Arkusz1 (3)"/>
      <sheetName val="Arkusz1"/>
      <sheetName val="NOTOWANIAod-01.09.1995"/>
      <sheetName val="Arkusz1 (4)"/>
      <sheetName val="konta_filie"/>
      <sheetName val="Companies"/>
      <sheetName val="ster"/>
      <sheetName val="Stanowiska ZUZP"/>
      <sheetName val="LISTY"/>
      <sheetName val="wymiary"/>
      <sheetName val="Notowania PP_PE"/>
      <sheetName val="Database"/>
      <sheetName val="Notowania"/>
      <sheetName val="dane do efektywności EUR"/>
      <sheetName val="dane do efektywności"/>
      <sheetName val="Słownik"/>
      <sheetName val="Dane"/>
      <sheetName val="Dane podstawowe|Basic data "/>
      <sheetName val="Zobowiązania finansowe"/>
      <sheetName val="str. 22,23,24"/>
      <sheetName val="CorrCurves"/>
      <sheetName val="Data"/>
      <sheetName val="KrakiDzienne"/>
      <sheetName val="Nnot"/>
      <sheetName val="CNB_Pribor"/>
      <sheetName val="Środki pieniężne"/>
      <sheetName val="Panel"/>
      <sheetName val="stały kurs z 31.12.2008"/>
      <sheetName val="Poziomy roli zawodowej"/>
      <sheetName val="Job Mapping_role zawodowe"/>
      <sheetName val="tabela"/>
      <sheetName val="Fences - prospekty-model geo"/>
      <sheetName val="TDO pełne P K"/>
      <sheetName val="Arkusz1_(9)"/>
      <sheetName val="Notowania_PE_i_PP"/>
      <sheetName val="Arkusz1_(8)"/>
      <sheetName val="Arkusz1_(7)"/>
      <sheetName val="Arkusz1_(6)"/>
      <sheetName val="Arkusz1_(2)"/>
      <sheetName val="Arkusz1_(3)"/>
      <sheetName val="NOTOWANIAod-01_09_1995"/>
      <sheetName val="Arkusz1_(4)"/>
      <sheetName val="Stanowiska_ZUZP"/>
      <sheetName val="Notowania_PP_PE"/>
      <sheetName val="dane_do_efektywności_EUR"/>
      <sheetName val="dane_do_efektywności"/>
      <sheetName val="Poziomy_roli_zawodowej"/>
      <sheetName val="Job_Mapping_role_zawodowe"/>
      <sheetName val="Dane_podstawowe|Basic_data_"/>
      <sheetName val="Zobowiązania_finansowe"/>
      <sheetName val="str__22,23,24"/>
      <sheetName val="Środki_pieniężne"/>
      <sheetName val="stały_kurs_z_31_12_2008"/>
      <sheetName val="map"/>
      <sheetName val="COMMENTS AND INSTRUCTIONS"/>
      <sheetName val="FIGURE III -"/>
      <sheetName val="CANCRSUP"/>
      <sheetName val="SCO (ERCB ST-39)"/>
      <sheetName val="Diluent Usage"/>
      <sheetName val="Upgraders &amp; Refineries"/>
      <sheetName val="C5+ Supply"/>
      <sheetName val="Graph Data"/>
      <sheetName val="C5+ Graph"/>
      <sheetName val="Table"/>
      <sheetName val="Corp"/>
      <sheetName val="COMMENTS_AND_INSTRUCTIONS"/>
      <sheetName val="FIGURE_III_-"/>
      <sheetName val="SCO_(ERCB_ST-39)"/>
      <sheetName val="Diluent_Usage"/>
      <sheetName val="Upgraders_&amp;_Refineries"/>
      <sheetName val="C5+_Supply"/>
      <sheetName val="Graph_Data"/>
      <sheetName val="C5+_Graph"/>
      <sheetName val="Figure - Stack-up by projec (2"/>
      <sheetName val="Arkusz2_x0000__x0000_㾀➣걇᐀蠀UNIPETROLG"/>
      <sheetName val="Arkusz1_(9)2"/>
      <sheetName val="Notowania_PE_i_PP2"/>
      <sheetName val="Arkusz1_(8)2"/>
      <sheetName val="Arkusz1_(7)2"/>
      <sheetName val="Arkusz1_(6)2"/>
      <sheetName val="Arkusz1_(2)2"/>
      <sheetName val="Arkusz1_(3)2"/>
      <sheetName val="NOTOWANIAod-01_09_19952"/>
      <sheetName val="Arkusz1_(4)2"/>
      <sheetName val="Stanowiska_ZUZP2"/>
      <sheetName val="Notowania_PP_PE2"/>
      <sheetName val="dane_do_efektywności_EUR2"/>
      <sheetName val="dane_do_efektywności2"/>
      <sheetName val="Dane_podstawowe|Basic_data_2"/>
      <sheetName val="Zobowiązania_finansowe2"/>
      <sheetName val="str__22,23,242"/>
      <sheetName val="Środki_pieniężne2"/>
      <sheetName val="stały_kurs_z_31_12_20082"/>
      <sheetName val="Poziomy_roli_zawodowej2"/>
      <sheetName val="Job_Mapping_role_zawodowe2"/>
      <sheetName val="Fences_-_prospekty-model_geo1"/>
      <sheetName val="TDO_pełne_P_K1"/>
      <sheetName val="Arkusz1_(9)1"/>
      <sheetName val="Notowania_PE_i_PP1"/>
      <sheetName val="Arkusz1_(8)1"/>
      <sheetName val="Arkusz1_(7)1"/>
      <sheetName val="Arkusz1_(6)1"/>
      <sheetName val="Arkusz1_(2)1"/>
      <sheetName val="Arkusz1_(3)1"/>
      <sheetName val="NOTOWANIAod-01_09_19951"/>
      <sheetName val="Arkusz1_(4)1"/>
      <sheetName val="Stanowiska_ZUZP1"/>
      <sheetName val="Notowania_PP_PE1"/>
      <sheetName val="dane_do_efektywności_EUR1"/>
      <sheetName val="dane_do_efektywności1"/>
      <sheetName val="Dane_podstawowe|Basic_data_1"/>
      <sheetName val="Zobowiązania_finansowe1"/>
      <sheetName val="str__22,23,241"/>
      <sheetName val="Środki_pieniężne1"/>
      <sheetName val="stały_kurs_z_31_12_20081"/>
      <sheetName val="Poziomy_roli_zawodowej1"/>
      <sheetName val="Job_Mapping_role_zawodowe1"/>
      <sheetName val="Fences_-_prospekty-model_geo"/>
      <sheetName val="TDO_pełne_P_K"/>
      <sheetName val="Arkusz1_(9)4"/>
      <sheetName val="Notowania_PE_i_PP4"/>
      <sheetName val="Arkusz1_(8)4"/>
      <sheetName val="Arkusz1_(7)4"/>
      <sheetName val="Arkusz1_(6)4"/>
      <sheetName val="Arkusz1_(2)4"/>
      <sheetName val="Arkusz1_(3)4"/>
      <sheetName val="NOTOWANIAod-01_09_19954"/>
      <sheetName val="Arkusz1_(4)4"/>
      <sheetName val="Stanowiska_ZUZP4"/>
      <sheetName val="dane_do_efektywności_EUR4"/>
      <sheetName val="dane_do_efektywności4"/>
      <sheetName val="Notowania_PP_PE4"/>
      <sheetName val="Dane_podstawowe|Basic_data_4"/>
      <sheetName val="Zobowiązania_finansowe4"/>
      <sheetName val="str__22,23,244"/>
      <sheetName val="Środki_pieniężne4"/>
      <sheetName val="stały_kurs_z_31_12_20084"/>
      <sheetName val="Poziomy_roli_zawodowej4"/>
      <sheetName val="Job_Mapping_role_zawodowe4"/>
      <sheetName val="Fences_-_prospekty-model_geo3"/>
      <sheetName val="TDO_pełne_P_K3"/>
      <sheetName val="Arkusz1_(9)3"/>
      <sheetName val="Notowania_PE_i_PP3"/>
      <sheetName val="Arkusz1_(8)3"/>
      <sheetName val="Arkusz1_(7)3"/>
      <sheetName val="Arkusz1_(6)3"/>
      <sheetName val="Arkusz1_(2)3"/>
      <sheetName val="Arkusz1_(3)3"/>
      <sheetName val="NOTOWANIAod-01_09_19953"/>
      <sheetName val="Arkusz1_(4)3"/>
      <sheetName val="Stanowiska_ZUZP3"/>
      <sheetName val="Notowania_PP_PE3"/>
      <sheetName val="dane_do_efektywności_EUR3"/>
      <sheetName val="dane_do_efektywności3"/>
      <sheetName val="Dane_podstawowe|Basic_data_3"/>
      <sheetName val="Zobowiązania_finansowe3"/>
      <sheetName val="str__22,23,243"/>
      <sheetName val="Środki_pieniężne3"/>
      <sheetName val="stały_kurs_z_31_12_20083"/>
      <sheetName val="Poziomy_roli_zawodowej3"/>
      <sheetName val="Job_Mapping_role_zawodowe3"/>
      <sheetName val="Fences_-_prospekty-model_geo2"/>
      <sheetName val="TDO_pełne_P_K2"/>
      <sheetName val="NOTOWANIAod-01_09_19955"/>
      <sheetName val="Arkusz1_(9)5"/>
      <sheetName val="Notowania_PE_i_PP5"/>
      <sheetName val="Arkusz1_(8)5"/>
      <sheetName val="Arkusz1_(7)5"/>
      <sheetName val="Arkusz1_(6)5"/>
      <sheetName val="Arkusz1_(2)5"/>
      <sheetName val="Arkusz1_(3)5"/>
      <sheetName val="Arkusz1_(4)5"/>
      <sheetName val="Stanowiska_ZUZP5"/>
      <sheetName val="Notowania_PP_PE5"/>
      <sheetName val="dane_do_efektywności_EUR5"/>
      <sheetName val="dane_do_efektywności5"/>
      <sheetName val="Dane_podstawowe|Basic_data_5"/>
      <sheetName val="Zobowiązania_finansowe5"/>
      <sheetName val="str__22,23,245"/>
      <sheetName val="Środki_pieniężne5"/>
      <sheetName val="stały_kurs_z_31_12_20085"/>
      <sheetName val="Poziomy_roli_zawodowej5"/>
      <sheetName val="Job_Mapping_role_zawodowe5"/>
      <sheetName val="Fences_-_prospekty-model_geo4"/>
      <sheetName val="TDO_pełne_P_K4"/>
      <sheetName val="Koszty_osobowe_UNI4"/>
      <sheetName val="B2025_Zatrudnienie_P8+4_2024"/>
      <sheetName val="rozwój"/>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ímoldali táblázat"/>
      <sheetName val="Tulajdonosi szerkezet"/>
      <sheetName val="Éves mérlegek"/>
      <sheetName val="Éves eredménykimutatások"/>
      <sheetName val="Olaj-Nafta"/>
      <sheetName val="Nafta-Etilén"/>
      <sheetName val="Etilén-Polimer"/>
      <sheetName val="Etilén-Polimer (2)"/>
      <sheetName val="Diagram3"/>
      <sheetName val="Vegyipari alapanyagok árai"/>
      <sheetName val="Alapanyag ktg"/>
      <sheetName val="Értékesítés"/>
      <sheetName val="Modell adatok"/>
      <sheetName val="Modell"/>
      <sheetName val="Olaj-Nafta korreláció"/>
      <sheetName val="Árfolyamadatok"/>
      <sheetName val="TVK pénzügyi mutatói"/>
      <sheetName val="Versenytársak"/>
      <sheetName val="Értékesítés régiónként"/>
      <sheetName val="Eladási struktúra"/>
      <sheetName val="ToolKi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E6">
            <v>1340</v>
          </cell>
        </row>
        <row r="7">
          <cell r="E7">
            <v>1340</v>
          </cell>
        </row>
        <row r="8">
          <cell r="E8">
            <v>1340</v>
          </cell>
        </row>
        <row r="9">
          <cell r="E9">
            <v>1350</v>
          </cell>
        </row>
        <row r="10">
          <cell r="E10">
            <v>1350</v>
          </cell>
        </row>
        <row r="11">
          <cell r="E11">
            <v>1350</v>
          </cell>
        </row>
        <row r="12">
          <cell r="E12">
            <v>1335</v>
          </cell>
        </row>
        <row r="13">
          <cell r="E13">
            <v>1350</v>
          </cell>
        </row>
        <row r="14">
          <cell r="E14">
            <v>1345</v>
          </cell>
        </row>
        <row r="15">
          <cell r="E15">
            <v>1345</v>
          </cell>
        </row>
        <row r="16">
          <cell r="E16">
            <v>1350</v>
          </cell>
        </row>
        <row r="17">
          <cell r="E17">
            <v>1330</v>
          </cell>
        </row>
        <row r="18">
          <cell r="E18">
            <v>1330</v>
          </cell>
        </row>
        <row r="19">
          <cell r="E19">
            <v>1335</v>
          </cell>
        </row>
        <row r="20">
          <cell r="E20">
            <v>1340</v>
          </cell>
        </row>
        <row r="21">
          <cell r="E21">
            <v>1350</v>
          </cell>
        </row>
        <row r="22">
          <cell r="E22">
            <v>1350</v>
          </cell>
        </row>
        <row r="23">
          <cell r="E23">
            <v>1360</v>
          </cell>
        </row>
        <row r="24">
          <cell r="E24">
            <v>1350</v>
          </cell>
        </row>
        <row r="25">
          <cell r="E25">
            <v>1350</v>
          </cell>
        </row>
        <row r="26">
          <cell r="E26">
            <v>1330</v>
          </cell>
        </row>
        <row r="27">
          <cell r="E27">
            <v>1340</v>
          </cell>
        </row>
        <row r="28">
          <cell r="E28">
            <v>1350</v>
          </cell>
        </row>
        <row r="29">
          <cell r="E29">
            <v>1350</v>
          </cell>
        </row>
        <row r="30">
          <cell r="E30">
            <v>1350</v>
          </cell>
        </row>
        <row r="31">
          <cell r="E31">
            <v>1345</v>
          </cell>
        </row>
        <row r="32">
          <cell r="E32">
            <v>1345</v>
          </cell>
        </row>
        <row r="33">
          <cell r="E33">
            <v>1350</v>
          </cell>
        </row>
        <row r="34">
          <cell r="E34">
            <v>1345</v>
          </cell>
        </row>
        <row r="35">
          <cell r="E35">
            <v>1340</v>
          </cell>
        </row>
        <row r="36">
          <cell r="E36">
            <v>1345</v>
          </cell>
        </row>
        <row r="37">
          <cell r="E37">
            <v>1350</v>
          </cell>
        </row>
        <row r="38">
          <cell r="E38">
            <v>1350</v>
          </cell>
        </row>
        <row r="39">
          <cell r="E39">
            <v>1350</v>
          </cell>
        </row>
        <row r="40">
          <cell r="E40">
            <v>1345</v>
          </cell>
        </row>
        <row r="41">
          <cell r="E41">
            <v>1340</v>
          </cell>
        </row>
        <row r="42">
          <cell r="E42">
            <v>1340</v>
          </cell>
        </row>
        <row r="43">
          <cell r="E43">
            <v>1345</v>
          </cell>
        </row>
        <row r="412">
          <cell r="E412">
            <v>4380</v>
          </cell>
        </row>
        <row r="413">
          <cell r="E413">
            <v>4500</v>
          </cell>
        </row>
        <row r="414">
          <cell r="E414">
            <v>4600</v>
          </cell>
        </row>
        <row r="415">
          <cell r="E415">
            <v>4500</v>
          </cell>
        </row>
        <row r="416">
          <cell r="E416">
            <v>4555</v>
          </cell>
        </row>
        <row r="417">
          <cell r="E417">
            <v>4650</v>
          </cell>
        </row>
        <row r="418">
          <cell r="E418">
            <v>4850</v>
          </cell>
        </row>
        <row r="419">
          <cell r="E419">
            <v>4925</v>
          </cell>
        </row>
        <row r="420">
          <cell r="E420">
            <v>4925</v>
          </cell>
        </row>
        <row r="421">
          <cell r="E421">
            <v>4830</v>
          </cell>
        </row>
        <row r="422">
          <cell r="E422">
            <v>4860</v>
          </cell>
        </row>
        <row r="423">
          <cell r="E423">
            <v>4960</v>
          </cell>
        </row>
        <row r="424">
          <cell r="E424">
            <v>4975</v>
          </cell>
        </row>
        <row r="425">
          <cell r="E425">
            <v>4985</v>
          </cell>
        </row>
        <row r="426">
          <cell r="E426">
            <v>5120</v>
          </cell>
        </row>
        <row r="427">
          <cell r="E427">
            <v>5240</v>
          </cell>
        </row>
        <row r="428">
          <cell r="E428">
            <v>5180</v>
          </cell>
        </row>
        <row r="429">
          <cell r="E429">
            <v>5120</v>
          </cell>
        </row>
        <row r="430">
          <cell r="E430">
            <v>4855</v>
          </cell>
        </row>
        <row r="431">
          <cell r="E431">
            <v>4750</v>
          </cell>
        </row>
        <row r="432">
          <cell r="E432">
            <v>4795</v>
          </cell>
        </row>
        <row r="433">
          <cell r="E433">
            <v>4955</v>
          </cell>
        </row>
        <row r="434">
          <cell r="E434">
            <v>4890</v>
          </cell>
        </row>
        <row r="435">
          <cell r="E435">
            <v>4865</v>
          </cell>
        </row>
        <row r="436">
          <cell r="E436">
            <v>4835</v>
          </cell>
        </row>
        <row r="437">
          <cell r="E437">
            <v>4710</v>
          </cell>
        </row>
        <row r="438">
          <cell r="E438">
            <v>4620</v>
          </cell>
        </row>
        <row r="439">
          <cell r="E439">
            <v>4470</v>
          </cell>
        </row>
        <row r="440">
          <cell r="E440">
            <v>4210</v>
          </cell>
        </row>
        <row r="441">
          <cell r="E441">
            <v>4295</v>
          </cell>
        </row>
        <row r="442">
          <cell r="E442">
            <v>4375</v>
          </cell>
        </row>
        <row r="443">
          <cell r="E443">
            <v>4100</v>
          </cell>
        </row>
        <row r="444">
          <cell r="E444">
            <v>4130</v>
          </cell>
        </row>
        <row r="445">
          <cell r="E445">
            <v>4245</v>
          </cell>
        </row>
        <row r="446">
          <cell r="E446">
            <v>4350</v>
          </cell>
        </row>
        <row r="447">
          <cell r="E447">
            <v>4240</v>
          </cell>
        </row>
        <row r="448">
          <cell r="E448">
            <v>3700</v>
          </cell>
        </row>
        <row r="449">
          <cell r="E449">
            <v>3650</v>
          </cell>
        </row>
        <row r="450">
          <cell r="E450">
            <v>3600</v>
          </cell>
        </row>
        <row r="451">
          <cell r="E451">
            <v>3410</v>
          </cell>
        </row>
        <row r="452">
          <cell r="E452">
            <v>3415</v>
          </cell>
        </row>
        <row r="453">
          <cell r="E453">
            <v>3450</v>
          </cell>
        </row>
        <row r="454">
          <cell r="E454">
            <v>3800</v>
          </cell>
        </row>
        <row r="455">
          <cell r="E455">
            <v>4030</v>
          </cell>
        </row>
        <row r="456">
          <cell r="E456">
            <v>4375</v>
          </cell>
        </row>
        <row r="457">
          <cell r="E457">
            <v>4475</v>
          </cell>
        </row>
        <row r="458">
          <cell r="E458">
            <v>4405</v>
          </cell>
        </row>
        <row r="459">
          <cell r="E459">
            <v>4255</v>
          </cell>
        </row>
        <row r="460">
          <cell r="E460">
            <v>4125</v>
          </cell>
        </row>
        <row r="461">
          <cell r="E461">
            <v>4195</v>
          </cell>
        </row>
        <row r="462">
          <cell r="E462">
            <v>4075</v>
          </cell>
        </row>
        <row r="463">
          <cell r="E463">
            <v>4115</v>
          </cell>
        </row>
        <row r="464">
          <cell r="E464">
            <v>4300</v>
          </cell>
        </row>
        <row r="465">
          <cell r="E465">
            <v>4275</v>
          </cell>
        </row>
        <row r="466">
          <cell r="E466">
            <v>4320</v>
          </cell>
        </row>
        <row r="467">
          <cell r="E467">
            <v>4270</v>
          </cell>
        </row>
        <row r="468">
          <cell r="E468">
            <v>4360</v>
          </cell>
        </row>
        <row r="469">
          <cell r="E469">
            <v>4345</v>
          </cell>
        </row>
        <row r="470">
          <cell r="E470">
            <v>4380</v>
          </cell>
        </row>
        <row r="471">
          <cell r="E471">
            <v>4300</v>
          </cell>
        </row>
        <row r="472">
          <cell r="E472">
            <v>4280</v>
          </cell>
        </row>
        <row r="473">
          <cell r="E473">
            <v>4255</v>
          </cell>
        </row>
      </sheetData>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KONOMIKA (24)"/>
      <sheetName val="plan(PIMS) (24)"/>
      <sheetName val="plan(PIMS) (23)"/>
      <sheetName val="EKONOMIKA (23)"/>
      <sheetName val="ZAPASY (23)"/>
      <sheetName val="plan(PIMS) (22)"/>
      <sheetName val="EKONOMIKA (22)"/>
      <sheetName val="ZAPASY (22)"/>
      <sheetName val="plan(PIMS) (21)"/>
      <sheetName val="EKONOMIKA (21)"/>
      <sheetName val="ZAPASY (21)"/>
      <sheetName val="plan(PIMS) (20)"/>
      <sheetName val="EKONOMIKA (20)"/>
      <sheetName val="ZAPASY (20)"/>
      <sheetName val="plan(PIMS) (19)"/>
      <sheetName val="EKONOMIKA (19)"/>
      <sheetName val="ZAPASY (19)"/>
      <sheetName val="plan(PIMS) (18)"/>
      <sheetName val="EKONOMIKA (18)"/>
      <sheetName val="ZAPASY (18)"/>
      <sheetName val="plan(PIMS) (17)"/>
      <sheetName val="EKONOMIKA (17)"/>
      <sheetName val="ZAPASY (17)"/>
      <sheetName val="plan(PIMS) (16)"/>
      <sheetName val="EKONOMIKA (16)"/>
      <sheetName val="ZAPASY (16)"/>
      <sheetName val="plan(PIMS) (12)"/>
      <sheetName val="EKONOMIKA (12)"/>
      <sheetName val="ZAPASY (12)"/>
      <sheetName val="plan(PIMS) (15)"/>
      <sheetName val="EKONOMIKA (15)"/>
      <sheetName val="ZAPASY (15)"/>
      <sheetName val="plan(PIMS) (14)"/>
      <sheetName val="EKONOMIKA (14)"/>
      <sheetName val="ZAPASY (14)"/>
      <sheetName val="plan(PIMS) (13)"/>
      <sheetName val="EKONOMIKA (13)"/>
      <sheetName val="ZAPASY (13)"/>
      <sheetName val="plan(PIMS) (7)"/>
      <sheetName val="EKONOMIKA (7)"/>
      <sheetName val="ZAPASY (7)"/>
      <sheetName val="plan(PIMS) (11)"/>
      <sheetName val="EKONOMIKA (11)"/>
      <sheetName val="ZAPASY (11)"/>
      <sheetName val="plan(PIMS) (10)"/>
      <sheetName val="EKONOMIKA (10)"/>
      <sheetName val="ZAPASY (10)"/>
      <sheetName val="plan(PIMS) (9)"/>
      <sheetName val="EKONOMIKA (9)"/>
      <sheetName val="ZAPASY (9)"/>
      <sheetName val="plan(PIMS) (8)"/>
      <sheetName val="EKONOMIKA (8)"/>
      <sheetName val="ZAPASY (8)"/>
      <sheetName val="plan(PIMS) (6)"/>
      <sheetName val="EKONOMIKA (6)"/>
      <sheetName val="ZAPASY (6)"/>
      <sheetName val="plan(PIMS) (5)"/>
      <sheetName val="EKONOMIKA (5)"/>
      <sheetName val="ZAPASY (5)"/>
      <sheetName val="plan(PIMS) (4)"/>
      <sheetName val="EKONOMIKA (4)"/>
      <sheetName val="ZAPASY (4)"/>
      <sheetName val="plan(PIMS) (3)"/>
      <sheetName val="EKONOMIKA (3)"/>
      <sheetName val="ZAPASY (3)"/>
      <sheetName val="plan(PIMS) (2)"/>
      <sheetName val="EKONOMIKA (2)"/>
      <sheetName val="ZAPASY (2)"/>
      <sheetName val="plan(PIMS)"/>
      <sheetName val="EKONOMIKA"/>
      <sheetName val="ZAPASY"/>
      <sheetName val="Sheet2"/>
      <sheetName val="Sheet1"/>
      <sheetName val="Dialog1"/>
      <sheetName val="Module1"/>
      <sheetName val="planprod"/>
      <sheetName val="Árfolyamadatok"/>
    </sheetNames>
    <definedNames>
      <definedName name="Menu"/>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is tresci"/>
      <sheetName val="P-1"/>
      <sheetName val="P-1 a PKN"/>
      <sheetName val="P-1n"/>
      <sheetName val="P-2st"/>
      <sheetName val="P-2wn"/>
      <sheetName val="P-2p"/>
      <sheetName val="P-3"/>
      <sheetName val="Zapasy Produkty"/>
      <sheetName val="Zapasy Towary"/>
      <sheetName val="Zakupy Produkty"/>
      <sheetName val="Zakupy Towary"/>
      <sheetName val="Sprzedaz"/>
      <sheetName val="dodatkowe informacje"/>
      <sheetName val="OPIS"/>
      <sheetName val="ster"/>
    </sheetNames>
    <sheetDataSet>
      <sheetData sheetId="0" refreshError="1">
        <row r="6">
          <cell r="B6" t="str">
            <v>Nazwa Oddziału</v>
          </cell>
        </row>
        <row r="49">
          <cell r="B49" t="str">
            <v>1999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200000"/>
      <sheetName val="300000"/>
      <sheetName val="400000"/>
      <sheetName val="500000"/>
      <sheetName val="600000"/>
      <sheetName val="700000"/>
      <sheetName val="800000"/>
      <sheetName val="ster"/>
      <sheetName val="Informacja"/>
      <sheetName val="Spis - SAR"/>
      <sheetName val="arkusz sprawdzający"/>
      <sheetName val="Korekty"/>
      <sheetName val="SA_R"/>
      <sheetName val="T1"/>
      <sheetName val="T2"/>
      <sheetName val="T1-2"/>
      <sheetName val="T3"/>
      <sheetName val="T4"/>
      <sheetName val="T5 w PLN"/>
      <sheetName val="T7 w PLN"/>
      <sheetName val="T5old"/>
      <sheetName val="T6"/>
      <sheetName val="T7old"/>
      <sheetName val="T8"/>
      <sheetName val="T9"/>
      <sheetName val="T10"/>
      <sheetName val="T11"/>
      <sheetName val="T12"/>
      <sheetName val="T13"/>
      <sheetName val="T14"/>
      <sheetName val="T15 "/>
      <sheetName val="T15old"/>
      <sheetName val="T16"/>
      <sheetName val="T17"/>
      <sheetName val="T17 A"/>
      <sheetName val="T18"/>
      <sheetName val="T20"/>
      <sheetName val="T21"/>
      <sheetName val="T22"/>
      <sheetName val="T23"/>
      <sheetName val="24 a,b"/>
      <sheetName val="25 Przeplywy"/>
      <sheetName val="T26"/>
      <sheetName val="T27 - ODROCZONY"/>
      <sheetName val="T 28"/>
      <sheetName val="T 29"/>
      <sheetName val="T30"/>
      <sheetName val="Spis - Wylaczenia"/>
      <sheetName val="P-1"/>
      <sheetName val="P-1r"/>
      <sheetName val="P-1r old"/>
      <sheetName val="P-1n"/>
      <sheetName val="P-2st"/>
      <sheetName val="P-2wn"/>
      <sheetName val="P-2p"/>
      <sheetName val="P-3"/>
      <sheetName val="Wykaz produktów"/>
      <sheetName val="Zapasy Produkty"/>
      <sheetName val="Zapasy Towary "/>
      <sheetName val="Zakupy Produkty "/>
      <sheetName val="Zakupy Towary i Materiały  "/>
      <sheetName val="Sprzedaz"/>
      <sheetName val="dodatkowe informacje"/>
      <sheetName val="MSR"/>
      <sheetName val="T_IAS -10"/>
      <sheetName val="T_IAS-20"/>
      <sheetName val="T_IAS-40"/>
      <sheetName val="T_IAS-50"/>
      <sheetName val="T_IAS-60"/>
      <sheetName val="T-IAS-70"/>
      <sheetName val="T19"/>
      <sheetName val="T7"/>
      <sheetName val="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59">
          <cell r="B59" t="str">
            <v>1.1.2000</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ames"/>
      <sheetName val="ster"/>
      <sheetName val="Osoby kontaktowe"/>
      <sheetName val="Odblokowanie"/>
      <sheetName val="arkusz sprawdzajacy"/>
      <sheetName val="SAR"/>
      <sheetName val="Kapitał"/>
      <sheetName val="T1"/>
      <sheetName val="T2"/>
      <sheetName val="T2 Aport"/>
      <sheetName val="T3"/>
      <sheetName val="Krot. aktywa finansowe"/>
      <sheetName val="Dlugot. aktywa finan."/>
      <sheetName val="T4"/>
      <sheetName val="T4B"/>
      <sheetName val="T4C"/>
      <sheetName val="T5"/>
      <sheetName val="T6"/>
      <sheetName val="T7"/>
      <sheetName val="T8"/>
      <sheetName val="T9"/>
      <sheetName val="T10"/>
      <sheetName val="T11"/>
      <sheetName val="T12"/>
      <sheetName val="T13"/>
      <sheetName val="T14"/>
      <sheetName val="T15"/>
      <sheetName val="T16"/>
      <sheetName val="CIT"/>
      <sheetName val="T17"/>
      <sheetName val="T18"/>
      <sheetName val="T18 B"/>
      <sheetName val="T19"/>
      <sheetName val="T20"/>
      <sheetName val="T21"/>
      <sheetName val="T23"/>
      <sheetName val="T24"/>
      <sheetName val="T25"/>
      <sheetName val="T26"/>
      <sheetName val="T27"/>
      <sheetName val="T28"/>
      <sheetName val="Wykaz"/>
      <sheetName val="P-1"/>
      <sheetName val="P-1n"/>
      <sheetName val="P-1r"/>
      <sheetName val="P-2st"/>
      <sheetName val="P-2wn"/>
      <sheetName val="P-2p"/>
      <sheetName val="P-3"/>
      <sheetName val="Wykaz produktow"/>
      <sheetName val="Zapasy Produkty"/>
      <sheetName val="Zapasy Towary"/>
      <sheetName val="Zakupy Produkty"/>
      <sheetName val="Zakupy Towary i Materialy"/>
      <sheetName val="Sprzedaz"/>
      <sheetName val="Dodatkowe informacje"/>
      <sheetName val="T-IAS 20"/>
      <sheetName val="T-IAS 30"/>
      <sheetName val="T-IAS 50"/>
      <sheetName val="T-IAS 60"/>
      <sheetName val="T-IAS 70"/>
      <sheetName val="T-IAS 80"/>
      <sheetName val="I"/>
      <sheetName val="II"/>
      <sheetName val="III"/>
      <sheetName val="IV"/>
      <sheetName val="V"/>
      <sheetName val="VI"/>
      <sheetName val="VII"/>
      <sheetName val="VIII"/>
      <sheetName val="IX"/>
      <sheetName val="X"/>
      <sheetName val="XI"/>
      <sheetName val="XII"/>
      <sheetName val="Akcyza"/>
      <sheetName val="Sprzedaż"/>
      <sheetName val="Zakupy Towary i Materiały"/>
      <sheetName val="podatek dochodowy"/>
      <sheetName val="T19 Przepływy"/>
      <sheetName val="arkusz sprawdzający"/>
      <sheetName val="Spis - Wylaczenia"/>
    </sheetNames>
    <sheetDataSet>
      <sheetData sheetId="0" refreshError="1"/>
      <sheetData sheetId="1" refreshError="1"/>
      <sheetData sheetId="2" refreshError="1">
        <row r="2">
          <cell r="B2" t="str">
            <v>31.12.2004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ster"/>
      <sheetName val="Informacja"/>
      <sheetName val="Spis - SAR"/>
      <sheetName val="arkusz sprawdzający"/>
      <sheetName val="SA_R"/>
      <sheetName val="T1"/>
      <sheetName val="T2"/>
      <sheetName val="T1-2"/>
      <sheetName val="T4"/>
      <sheetName val="T3"/>
      <sheetName val="T5"/>
      <sheetName val="T6"/>
      <sheetName val="T7"/>
      <sheetName val="T8"/>
      <sheetName val="T9"/>
      <sheetName val="T10"/>
      <sheetName val="T11"/>
      <sheetName val="T12"/>
      <sheetName val="T13"/>
      <sheetName val="T14"/>
      <sheetName val="T27"/>
      <sheetName val="T18"/>
      <sheetName val="T21"/>
      <sheetName val="T22"/>
      <sheetName val="T23"/>
      <sheetName val="24 a,b"/>
      <sheetName val="25 Przeplywy"/>
      <sheetName val="T26"/>
      <sheetName val="T27 - ODROCZONY"/>
      <sheetName val="T 28"/>
      <sheetName val="T30"/>
      <sheetName val="T31"/>
      <sheetName val="T32"/>
      <sheetName val="T33"/>
      <sheetName val="T34"/>
      <sheetName val="Spis - Wylaczenia"/>
      <sheetName val="P-1"/>
      <sheetName val="P-1r"/>
      <sheetName val="P-1n"/>
      <sheetName val="P-2st"/>
      <sheetName val="P-2wn"/>
      <sheetName val="P-2p"/>
      <sheetName val="P-3"/>
      <sheetName val="Wykaz produktów"/>
      <sheetName val="Zapasy Produkty"/>
      <sheetName val="Zapasy Towary "/>
      <sheetName val="Zakupy Produkty "/>
      <sheetName val="Zakupy Towary i Materiały  "/>
      <sheetName val="Sprzedaz"/>
      <sheetName val="dodatkowe informacje"/>
      <sheetName val="MSR"/>
      <sheetName val="T_IAS -10"/>
      <sheetName val="T_IAS-20"/>
      <sheetName val="T_IAS-40"/>
      <sheetName val="T_IAS-50"/>
      <sheetName val="T_IAS-60"/>
      <sheetName val="T-IAS-70"/>
      <sheetName val="Osoby kontaktowe"/>
      <sheetName val="Odblokowanie"/>
      <sheetName val="SAR"/>
      <sheetName val="T2 Aport"/>
      <sheetName val="Krot. aktywa finansowe"/>
      <sheetName val="Dlugot. aktywa finan."/>
      <sheetName val="T4B"/>
      <sheetName val="T4C"/>
      <sheetName val="T15"/>
      <sheetName val="T16"/>
      <sheetName val="podatek dochodowy"/>
      <sheetName val="T17"/>
      <sheetName val="T18 B"/>
      <sheetName val="T19 Przepływy"/>
      <sheetName val="T20"/>
      <sheetName val="T21 Odroczony"/>
      <sheetName val="T24"/>
      <sheetName val="T25"/>
      <sheetName val="Wykaz"/>
      <sheetName val="Zapasy Towary"/>
      <sheetName val="Zakupy Produkty"/>
      <sheetName val="Zakupy Towary i Materiały"/>
      <sheetName val="Sprzedaż"/>
      <sheetName val="T-IAS 10"/>
      <sheetName val="T-IAS 20"/>
      <sheetName val="T-IAS 30"/>
      <sheetName val="T-IAS 50"/>
      <sheetName val="T-IAS 60"/>
      <sheetName val="T-IAS 70"/>
      <sheetName val="styczen"/>
      <sheetName val="luty"/>
      <sheetName val="marzec"/>
      <sheetName val="kwiecien"/>
      <sheetName val="maj"/>
      <sheetName val="czerwiec"/>
      <sheetName val="lipiec"/>
      <sheetName val="sierpień"/>
      <sheetName val="wrzesień"/>
      <sheetName val="pazdziernik"/>
      <sheetName val="listopad"/>
      <sheetName val="grudzien"/>
      <sheetName val="Akcyza 3Q 2003"/>
      <sheetName val="spis tresci"/>
      <sheetName val="Kalkulacja cen PS roczny Z"/>
      <sheetName val="Depreciación"/>
    </sheetNames>
    <sheetDataSet>
      <sheetData sheetId="0" refreshError="1"/>
      <sheetData sheetId="1" refreshError="1"/>
      <sheetData sheetId="2" refreshError="1">
        <row r="6">
          <cell r="B6">
            <v>2000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200000"/>
      <sheetName val="300000"/>
      <sheetName val="400000"/>
      <sheetName val="500000"/>
      <sheetName val="600000"/>
      <sheetName val="700000"/>
      <sheetName val="800000"/>
      <sheetName val="ster"/>
      <sheetName val="Informacja"/>
      <sheetName val="Spis - SAR"/>
      <sheetName val="arkusz sprawdzający"/>
      <sheetName val="Korekty"/>
      <sheetName val="SA_R"/>
      <sheetName val="T1"/>
      <sheetName val="T2"/>
      <sheetName val="T1-2"/>
      <sheetName val="T3"/>
      <sheetName val="T3 old"/>
      <sheetName val="T4"/>
      <sheetName val="T5"/>
      <sheetName val="T6"/>
      <sheetName val="T7"/>
      <sheetName val="T8"/>
      <sheetName val="T9"/>
      <sheetName val="T10"/>
      <sheetName val="T11"/>
      <sheetName val="T12"/>
      <sheetName val="T13"/>
      <sheetName val="T14"/>
      <sheetName val="T15"/>
      <sheetName val="T16"/>
      <sheetName val="T18"/>
      <sheetName val="T21"/>
      <sheetName val="T22"/>
      <sheetName val="T23"/>
      <sheetName val="24 a,b"/>
      <sheetName val="25 Przeplywy"/>
      <sheetName val="T26"/>
      <sheetName val="T27 - ODROCZONY"/>
      <sheetName val="T 28"/>
      <sheetName val="T 29"/>
      <sheetName val="T30"/>
      <sheetName val="Spis - Wylaczenia"/>
      <sheetName val="P-1r"/>
      <sheetName val="P-1"/>
      <sheetName val="P-1n"/>
      <sheetName val="P-2st"/>
      <sheetName val="P-2wn"/>
      <sheetName val="P-2p"/>
      <sheetName val="P-3"/>
      <sheetName val="Wykaz produktów"/>
      <sheetName val="Zapasy Produkty"/>
      <sheetName val="Zapasy Towary "/>
      <sheetName val="Zakupy Produkty "/>
      <sheetName val="Zakupy Towary i Materiały  "/>
      <sheetName val="Sprzedaz"/>
      <sheetName val="dodatkowe informacje"/>
      <sheetName val="MSR"/>
      <sheetName val="T_IAS -10"/>
      <sheetName val="T_IAS-20"/>
      <sheetName val="T_IAS-40"/>
      <sheetName val="T_IAS-50"/>
      <sheetName val="T_IAS-60"/>
      <sheetName val="T-IAS-70"/>
      <sheetName val="ster-IFRS7"/>
      <sheetName val="spis tres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0">
          <cell r="B10" t="str">
            <v>PSR</v>
          </cell>
        </row>
        <row r="11">
          <cell r="B11" t="str">
            <v>PSR po korektach</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arkusz sprawdzający"/>
      <sheetName val="Dane spółki"/>
      <sheetName val="Instrukcja"/>
      <sheetName val="sprawozdania wg starej ustawy"/>
      <sheetName val="Korekty"/>
      <sheetName val="31-12-2000"/>
      <sheetName val="30-06-2001"/>
      <sheetName val="31-12-2001"/>
      <sheetName val="Odroczony - 31 12 2000"/>
      <sheetName val="Odroczony - 30 06 2001"/>
      <sheetName val="Odroczony - 31 12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ster"/>
      <sheetName val="Informacja"/>
      <sheetName val="Spis - SAR"/>
      <sheetName val="arkusz sprawdzający"/>
      <sheetName val="SA_R OLD"/>
      <sheetName val="t25 9 m"/>
      <sheetName val="cash flow"/>
      <sheetName val="SA_R"/>
      <sheetName val="T1"/>
      <sheetName val="T2"/>
      <sheetName val="T1-2"/>
      <sheetName val="T4"/>
      <sheetName val="T3"/>
      <sheetName val="T5"/>
      <sheetName val="T6"/>
      <sheetName val="T7"/>
      <sheetName val="T8"/>
      <sheetName val="T9"/>
      <sheetName val="T10"/>
      <sheetName val="T11"/>
      <sheetName val="T12"/>
      <sheetName val="T13"/>
      <sheetName val="T14"/>
      <sheetName val="T16"/>
      <sheetName val="T18"/>
      <sheetName val="T21"/>
      <sheetName val="T22"/>
      <sheetName val="T23"/>
      <sheetName val="24 a,b"/>
      <sheetName val="25 Przeplywy"/>
      <sheetName val="T26"/>
      <sheetName val="T27 - ODROCZONY"/>
      <sheetName val="T 28"/>
      <sheetName val="T30"/>
      <sheetName val="T31"/>
      <sheetName val="T32"/>
      <sheetName val="T33"/>
      <sheetName val="T34"/>
      <sheetName val="Spis - Wylaczenia"/>
      <sheetName val="P-1"/>
      <sheetName val="P-1r"/>
      <sheetName val="P-1n"/>
      <sheetName val="P-2st"/>
      <sheetName val="P-2wn"/>
      <sheetName val="P-2p"/>
      <sheetName val="P-3"/>
      <sheetName val="Wykaz produktów"/>
      <sheetName val="Zapasy Produkty"/>
      <sheetName val="Zapasy Towary "/>
      <sheetName val="Zakupy Produkty "/>
      <sheetName val="Zakupy Towary i Materiały  "/>
      <sheetName val="Sprzedaz"/>
      <sheetName val="dodatkowe informacje"/>
      <sheetName val="MSR"/>
      <sheetName val="T_IAS -10"/>
      <sheetName val="T_IAS-20"/>
      <sheetName val="T_IAS-40"/>
      <sheetName val="T_IAS-50"/>
      <sheetName val="T_IAS-60"/>
      <sheetName val="T-IAS-70"/>
    </sheetNames>
    <sheetDataSet>
      <sheetData sheetId="0" refreshError="1"/>
      <sheetData sheetId="1" refreshError="1"/>
      <sheetData sheetId="2" refreshError="1">
        <row r="12">
          <cell r="B12" t="str">
            <v>PSR po korektach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er"/>
      <sheetName val="names"/>
      <sheetName val="Zmiany_Bilans"/>
      <sheetName val="Zmiana P&amp;L"/>
      <sheetName val="nowe konta"/>
      <sheetName val="wybrane dane finans IVQ 25"/>
      <sheetName val="Aktywa i Pasywa IVQ_25"/>
      <sheetName val="Aktywa i Pasywa IVQ_25_szczeg"/>
      <sheetName val="Aktywa i Pasywa IVQ_25_szcz_WZ"/>
      <sheetName val="Pozost Akty i Zobo KT_DT_ROK_WZ"/>
      <sheetName val="przejście_stary_nowy_układ"/>
      <sheetName val="przejście_stary_nowy_układ_2023"/>
      <sheetName val="Pozost Aktyw i Zobo KT_DT_ROK"/>
      <sheetName val="Leasing ujęty w zysku_stracie"/>
      <sheetName val="Rodzaje instrumentów"/>
      <sheetName val="Wartość Firmy_nota"/>
      <sheetName val="RZiS IVQ_25"/>
      <sheetName val="RZiS ROK_25_WZ"/>
      <sheetName val="RZiS IVQ_25_szczeg"/>
      <sheetName val="RZiS ROK_25_szczeg_WZ"/>
      <sheetName val="CF IVQ_25"/>
      <sheetName val="CF IVQ_25_szczeg"/>
      <sheetName val="Obligacje seria"/>
      <sheetName val="Obligacje seria_JEDNOSTKOWY"/>
      <sheetName val="Reforma_IBOR"/>
      <sheetName val="CF ROK_25_szczeg_WZ"/>
      <sheetName val="Kapitały IVQ_25"/>
      <sheetName val="Kapitały_25_WZ"/>
      <sheetName val="noty do bilansu 6 kolumn"/>
      <sheetName val="Hierarchia wartości godziwej"/>
      <sheetName val="rezerwy_BZ"/>
      <sheetName val="Rezerwy ruchy"/>
      <sheetName val="Zm stanu rezerwy na odrocz_bie"/>
      <sheetName val="Zm stanu rezerwy na odrocz_por"/>
      <sheetName val="swiadczenia pracownicze"/>
      <sheetName val="analiza wrazliwości MSR19"/>
      <sheetName val="analiza wrazliwości MSR19_porow"/>
      <sheetName val="T1 skonsolidowane"/>
      <sheetName val="T1 skonsolidowane cd"/>
      <sheetName val="T2  skonsolidowany"/>
      <sheetName val="Prawo użytkowania "/>
      <sheetName val="KLuczowe dane"/>
    </sheetNames>
    <sheetDataSet>
      <sheetData sheetId="0"/>
      <sheetData sheetId="1"/>
      <sheetData sheetId="2"/>
      <sheetData sheetId="3"/>
      <sheetData sheetId="4"/>
      <sheetData sheetId="5"/>
      <sheetData sheetId="6"/>
      <sheetData sheetId="7">
        <row r="7">
          <cell r="D7">
            <v>150244</v>
          </cell>
        </row>
        <row r="45">
          <cell r="F45">
            <v>254797</v>
          </cell>
        </row>
        <row r="60">
          <cell r="F60">
            <v>146863</v>
          </cell>
        </row>
      </sheetData>
      <sheetData sheetId="8"/>
      <sheetData sheetId="9"/>
      <sheetData sheetId="10"/>
      <sheetData sheetId="11"/>
      <sheetData sheetId="12"/>
      <sheetData sheetId="13"/>
      <sheetData sheetId="14"/>
      <sheetData sheetId="15"/>
      <sheetData sheetId="16"/>
      <sheetData sheetId="17"/>
      <sheetData sheetId="18">
        <row r="13">
          <cell r="D13">
            <v>267329</v>
          </cell>
        </row>
      </sheetData>
      <sheetData sheetId="19"/>
      <sheetData sheetId="20"/>
      <sheetData sheetId="21">
        <row r="5">
          <cell r="D5">
            <v>17557</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Spis"/>
      <sheetName val="arkusz sprawdzający"/>
      <sheetName val="Korekty"/>
      <sheetName val="SA_R"/>
      <sheetName val="T1"/>
      <sheetName val="T2"/>
      <sheetName val="T1-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Sheet1"/>
    </sheetNames>
    <sheetDataSet>
      <sheetData sheetId="0" refreshError="1">
        <row r="4">
          <cell r="B4" t="str">
            <v>1996</v>
          </cell>
        </row>
        <row r="10">
          <cell r="B10" t="str">
            <v>PSR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ster"/>
      <sheetName val="Informacja"/>
      <sheetName val="Spis - SAR"/>
      <sheetName val="arkusz sprawdzający"/>
      <sheetName val="SA_R"/>
      <sheetName val="T1"/>
      <sheetName val="T2"/>
      <sheetName val="T1-2"/>
      <sheetName val="T4"/>
      <sheetName val="T5"/>
      <sheetName val="T3"/>
      <sheetName val="T6"/>
      <sheetName val="T7"/>
      <sheetName val="T9"/>
      <sheetName val="T8"/>
      <sheetName val="T10"/>
      <sheetName val="T11"/>
      <sheetName val="T12"/>
      <sheetName val="T13"/>
      <sheetName val="T14"/>
      <sheetName val="T16"/>
      <sheetName val="T18"/>
      <sheetName val="T21"/>
      <sheetName val="T22"/>
      <sheetName val="T23"/>
      <sheetName val="24 a,b"/>
      <sheetName val="25 Przeplywy"/>
      <sheetName val="T26"/>
      <sheetName val="T27 - ODROCZONY"/>
      <sheetName val="T 28"/>
      <sheetName val="T30"/>
      <sheetName val="T31"/>
      <sheetName val="T32"/>
      <sheetName val="T33"/>
      <sheetName val="T34"/>
      <sheetName val="Spis - Wylaczenia"/>
      <sheetName val="P-1r"/>
      <sheetName val="P-1"/>
      <sheetName val="P-1n"/>
      <sheetName val="P-2st"/>
      <sheetName val="P-2wn"/>
      <sheetName val="P-2p"/>
      <sheetName val="P-3"/>
      <sheetName val="Wykaz produktów"/>
      <sheetName val="Zapasy Produkty"/>
      <sheetName val="Zapasy Towary "/>
      <sheetName val="Zakupy Produkty "/>
      <sheetName val="Zakupy Towary i Materiały  "/>
      <sheetName val="Sprzedaz"/>
      <sheetName val="dodatkowe informacje"/>
      <sheetName val="MSR"/>
      <sheetName val="T_IAS -10"/>
      <sheetName val="T_IAS-20"/>
      <sheetName val="T_IAS-40"/>
      <sheetName val="T_IAS-50"/>
      <sheetName val="T_IAS-60"/>
      <sheetName val="T-IAS-70"/>
    </sheetNames>
    <sheetDataSet>
      <sheetData sheetId="0" refreshError="1"/>
      <sheetData sheetId="1" refreshError="1"/>
      <sheetData sheetId="2" refreshError="1">
        <row r="2">
          <cell r="B2" t="str">
            <v>31.12.00</v>
          </cell>
        </row>
        <row r="4">
          <cell r="B4" t="str">
            <v>31.12.2001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daktowe"/>
      <sheetName val="#REF"/>
      <sheetName val="Names"/>
      <sheetName val="ster"/>
      <sheetName val="N"/>
      <sheetName val="liste de CODE"/>
      <sheetName val="B-1"/>
      <sheetName val="B-4"/>
      <sheetName val="liste_de_CODE"/>
      <sheetName val="liste_de_CODE1"/>
      <sheetName val="Żabno"/>
      <sheetName val="Grojec"/>
      <sheetName val="Fasownia"/>
      <sheetName val="Pakownia"/>
      <sheetName val="OPIS"/>
      <sheetName val="Kielce-29-001"/>
      <sheetName val="Zarząd"/>
      <sheetName val="liste_de_CODE2"/>
      <sheetName val="liste_de_COD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Osoby kontaktowe"/>
      <sheetName val="Odblokowanie"/>
      <sheetName val="arkusz sprawdzający"/>
      <sheetName val="SAR"/>
      <sheetName val="T1"/>
      <sheetName val="T2"/>
      <sheetName val="T3"/>
      <sheetName val="T4"/>
      <sheetName val="T4B"/>
      <sheetName val="T5"/>
      <sheetName val="T6"/>
      <sheetName val="T7"/>
      <sheetName val="T8"/>
      <sheetName val="T9"/>
      <sheetName val="T10"/>
      <sheetName val="T11"/>
      <sheetName val="T12"/>
      <sheetName val="T13"/>
      <sheetName val="T14"/>
      <sheetName val="T15"/>
      <sheetName val="T16"/>
      <sheetName val="T17"/>
      <sheetName val="T18"/>
      <sheetName val="T18 B"/>
      <sheetName val="T19 Przepływy"/>
      <sheetName val="T20"/>
      <sheetName val="T21 Odroczony"/>
      <sheetName val="T23"/>
      <sheetName val="T24"/>
      <sheetName val="T25"/>
      <sheetName val="T26"/>
      <sheetName val="P-1"/>
      <sheetName val="P-1r"/>
      <sheetName val="P-1n"/>
      <sheetName val="P-2st"/>
      <sheetName val="P-2wn"/>
      <sheetName val="P-2p"/>
      <sheetName val="P-3"/>
      <sheetName val="Wykaz produktów"/>
      <sheetName val="Zapasy Produkty"/>
      <sheetName val="Zapasy Towary"/>
      <sheetName val="Zakupy Produkty"/>
      <sheetName val="Zakupy Towary i Materiały"/>
      <sheetName val="Sprzedaż"/>
      <sheetName val="Dodatkowe informacje"/>
      <sheetName val="T-IAS 10"/>
      <sheetName val="T-IAS 20"/>
      <sheetName val="T-IAS 30"/>
      <sheetName val="T-IAS 50"/>
      <sheetName val="T-IAS 60"/>
      <sheetName val="T-IAS 70"/>
    </sheetNames>
    <sheetDataSet>
      <sheetData sheetId="0" refreshError="1">
        <row r="10">
          <cell r="E10">
            <v>0</v>
          </cell>
          <cell r="F10">
            <v>4.1321000000000003</v>
          </cell>
        </row>
        <row r="11">
          <cell r="E11">
            <v>0</v>
          </cell>
          <cell r="F11">
            <v>3.6036000000000001</v>
          </cell>
        </row>
        <row r="14">
          <cell r="B14">
            <v>0.28000000000000003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Spis"/>
      <sheetName val="arkusz sprawdzający"/>
      <sheetName val="Korekty"/>
      <sheetName val="SA_R"/>
      <sheetName val="T1"/>
      <sheetName val="T2"/>
      <sheetName val="T1-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Sheet1"/>
    </sheetNames>
    <sheetDataSet>
      <sheetData sheetId="0" refreshError="1">
        <row r="4">
          <cell r="B4" t="str">
            <v>1996</v>
          </cell>
        </row>
        <row r="11">
          <cell r="B11" t="str">
            <v>PSR po korektach</v>
          </cell>
        </row>
        <row r="12">
          <cell r="B12" t="str">
            <v>MSR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arkusz sprawdzający"/>
      <sheetName val="Dane spółki"/>
      <sheetName val="Instrukcja"/>
      <sheetName val="sprawozdania wg starej ustawy"/>
      <sheetName val="Korekty"/>
      <sheetName val="31-12-2000"/>
      <sheetName val="30-06-2001"/>
      <sheetName val="31-12-2001"/>
      <sheetName val="Odroczony - 31 12 2000"/>
      <sheetName val="Odroczony - 30 06 2001"/>
      <sheetName val="Odroczony - 31 12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arkusz sprawdzający"/>
      <sheetName val="Dane spółki"/>
      <sheetName val="Instrukcja"/>
      <sheetName val="sprawozdania wg starej ustawy"/>
      <sheetName val="Korekty"/>
      <sheetName val="31-12-2000"/>
      <sheetName val="30-06-2001"/>
      <sheetName val="31-12-2001"/>
      <sheetName val="Odroczony - 31 12 2000"/>
      <sheetName val="Odroczony - 30 06 2001"/>
      <sheetName val="Odroczony - 31 12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IS"/>
      <sheetName val="ARKUSZ SPRAWDZAJACY"/>
      <sheetName val="do wydruku"/>
      <sheetName val="ARKUSZ SPRAWDZAJACY ver B"/>
      <sheetName val="Korekty ver B"/>
      <sheetName val="do wydruku VER B"/>
      <sheetName val="zestawienie laczne"/>
      <sheetName val="Żabno"/>
      <sheetName val="Grojec"/>
      <sheetName val="Fasownia"/>
      <sheetName val="Pakownia"/>
      <sheetName val="Kielce-29-001"/>
      <sheetName val="Zarząd"/>
      <sheetName val="OT SA tabela restrukturyzacji"/>
      <sheetName val="Product pricing"/>
      <sheetName val="Kalkulacja cen PS roczny Z"/>
      <sheetName val="Input1"/>
      <sheetName val="ster"/>
      <sheetName val="Arkusz9"/>
      <sheetName val="AnalizaWyboru"/>
      <sheetName val="ARKUSZ_SPRAWDZAJACY"/>
      <sheetName val="do_wydruku"/>
      <sheetName val="ARKUSZ_SPRAWDZAJACY_ver_B"/>
      <sheetName val="Korekty_ver_B"/>
      <sheetName val="do_wydruku_VER_B"/>
      <sheetName val="zestawienie_laczne"/>
      <sheetName val="OT_SA_tabela_restrukturyzacji"/>
      <sheetName val="Product_pricing"/>
      <sheetName val="Kalkulacja_cen_PS_roczny_Z"/>
      <sheetName val="ARKUSZ_SPRAWDZAJACY1"/>
      <sheetName val="do_wydruku1"/>
      <sheetName val="ARKUSZ_SPRAWDZAJACY_ver_B1"/>
      <sheetName val="Korekty_ver_B1"/>
      <sheetName val="do_wydruku_VER_B1"/>
      <sheetName val="zestawienie_laczne1"/>
      <sheetName val="OT_SA_tabela_restrukturyzacji1"/>
      <sheetName val="Product_pricing1"/>
      <sheetName val="Kalkulacja_cen_PS_roczny_Z1"/>
      <sheetName val="#REF"/>
      <sheetName val="waluty"/>
      <sheetName val="Volumes"/>
      <sheetName val="ARKUSZ_SPRAWDZAJACY2"/>
      <sheetName val="do_wydruku2"/>
      <sheetName val="ARKUSZ_SPRAWDZAJACY_ver_B2"/>
      <sheetName val="Korekty_ver_B2"/>
      <sheetName val="do_wydruku_VER_B2"/>
      <sheetName val="zestawienie_laczne2"/>
      <sheetName val="OT_SA_tabela_restrukturyzacji2"/>
      <sheetName val="Product_pricing2"/>
      <sheetName val="Kalkulacja_cen_PS_roczny_Z2"/>
      <sheetName val="ARKUSZ_SPRAWDZAJACY3"/>
      <sheetName val="do_wydruku3"/>
      <sheetName val="ARKUSZ_SPRAWDZAJACY_ver_B3"/>
      <sheetName val="Korekty_ver_B3"/>
      <sheetName val="do_wydruku_VER_B3"/>
      <sheetName val="zestawienie_laczne3"/>
      <sheetName val="OT_SA_tabela_restrukturyzacji3"/>
      <sheetName val="Product_pricing3"/>
      <sheetName val="Kalkulacja_cen_PS_roczny_Z3"/>
      <sheetName val="ARKUSZ_SPRAWDZAJACY4"/>
      <sheetName val="do_wydruku4"/>
      <sheetName val="ARKUSZ_SPRAWDZAJACY_ver_B4"/>
      <sheetName val="Korekty_ver_B4"/>
      <sheetName val="do_wydruku_VER_B4"/>
      <sheetName val="zestawienie_laczne4"/>
      <sheetName val="OT_SA_tabela_restrukturyzacji4"/>
      <sheetName val="Product_pricing4"/>
      <sheetName val="Kalkulacja_cen_PS_roczny_Z4"/>
      <sheetName val="ARKUSZ_SPRAWDZAJACY5"/>
      <sheetName val="do_wydruku5"/>
      <sheetName val="ARKUSZ_SPRAWDZAJACY_ver_B5"/>
      <sheetName val="Korekty_ver_B5"/>
      <sheetName val="do_wydruku_VER_B5"/>
      <sheetName val="zestawienie_laczne5"/>
      <sheetName val="OT_SA_tabela_restrukturyzacji5"/>
      <sheetName val="Product_pricing5"/>
      <sheetName val="Kalkulacja_cen_PS_roczny_Z5"/>
      <sheetName val="ARKUSZ_SPRAWDZAJACY6"/>
      <sheetName val="do_wydruku6"/>
      <sheetName val="ARKUSZ_SPRAWDZAJACY_ver_B6"/>
      <sheetName val="Korekty_ver_B6"/>
      <sheetName val="do_wydruku_VER_B6"/>
      <sheetName val="zestawienie_laczne6"/>
      <sheetName val="OT_SA_tabela_restrukturyzacji6"/>
      <sheetName val="Product_pricing6"/>
      <sheetName val="Kalkulacja_cen_PS_roczny_Z6"/>
    </sheetNames>
    <sheetDataSet>
      <sheetData sheetId="0" refreshError="1">
        <row r="8">
          <cell r="C8" t="str">
            <v xml:space="preserve"> - KONTYNUACJA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48"/>
  <sheetViews>
    <sheetView zoomScale="85" zoomScaleNormal="85" workbookViewId="0">
      <pane ySplit="1" topLeftCell="A2354" activePane="bottomLeft" state="frozen"/>
      <selection pane="bottomLeft" activeCell="A2364" sqref="A2364"/>
    </sheetView>
  </sheetViews>
  <sheetFormatPr defaultColWidth="9.42578125" defaultRowHeight="18.75"/>
  <cols>
    <col min="1" max="1" width="62.7109375" style="715" customWidth="1"/>
    <col min="2" max="2" width="63.28515625" style="715" customWidth="1"/>
    <col min="3" max="3" width="59.28515625" style="715" customWidth="1"/>
    <col min="4" max="4" width="7.28515625" style="715" customWidth="1"/>
    <col min="5" max="6" width="44.28515625" style="709" customWidth="1"/>
    <col min="7" max="7" width="37.7109375" style="339" bestFit="1" customWidth="1"/>
    <col min="8" max="9" width="9.42578125" style="339"/>
    <col min="10" max="10" width="22.28515625" style="339" customWidth="1"/>
    <col min="11" max="16384" width="9.42578125" style="339"/>
  </cols>
  <sheetData>
    <row r="1" spans="1:8">
      <c r="A1" s="400" t="s">
        <v>1029</v>
      </c>
      <c r="B1" s="400" t="s">
        <v>785</v>
      </c>
      <c r="C1" s="400" t="s">
        <v>786</v>
      </c>
      <c r="D1" s="400"/>
      <c r="E1" s="720" t="s">
        <v>1569</v>
      </c>
      <c r="G1" s="720" t="s">
        <v>1570</v>
      </c>
    </row>
    <row r="2" spans="1:8">
      <c r="A2" s="715" t="str">
        <f>IF(ster!$A$1=1,names!B2,IF(ster!$A$1=2,names!C2))</f>
        <v>Dane finansowo-operacyjne według segmentów działalności</v>
      </c>
      <c r="B2" s="716" t="s">
        <v>432</v>
      </c>
      <c r="C2" s="715" t="s">
        <v>1988</v>
      </c>
      <c r="E2" s="709" t="s">
        <v>426</v>
      </c>
      <c r="F2" s="709" t="str">
        <f t="shared" ref="F2:F33" si="0">VLOOKUP(E2,$B:$C,2,0)</f>
        <v>Table of contents</v>
      </c>
      <c r="G2" s="709" t="s">
        <v>787</v>
      </c>
      <c r="H2" s="339" t="b">
        <f>G2=F2</f>
        <v>1</v>
      </c>
    </row>
    <row r="3" spans="1:8">
      <c r="A3" s="715">
        <f>IF(ster!$A$1=1,names!B3,IF(ster!$A$1=2,names!C3))</f>
        <v>0</v>
      </c>
      <c r="B3" s="716"/>
      <c r="C3" s="716"/>
      <c r="D3" s="716"/>
      <c r="E3" s="709" t="s">
        <v>425</v>
      </c>
      <c r="F3" s="709" t="str">
        <f t="shared" si="0"/>
        <v>Macroeconomic situation</v>
      </c>
      <c r="G3" s="709" t="s">
        <v>788</v>
      </c>
      <c r="H3" s="339" t="b">
        <f t="shared" ref="H3:H58" si="1">G3=F3</f>
        <v>1</v>
      </c>
    </row>
    <row r="4" spans="1:8">
      <c r="A4" s="715" t="str">
        <f>IF(ster!$A$1=1,names!B4,IF(ster!$A$1=2,names!C4))</f>
        <v>Spis treści</v>
      </c>
      <c r="B4" s="717" t="s">
        <v>426</v>
      </c>
      <c r="C4" s="716" t="s">
        <v>787</v>
      </c>
      <c r="D4" s="716"/>
      <c r="E4" s="716" t="s">
        <v>262</v>
      </c>
      <c r="F4" s="709" t="str">
        <f t="shared" si="0"/>
        <v>Macroeconomic parameters</v>
      </c>
      <c r="G4" s="709" t="s">
        <v>824</v>
      </c>
      <c r="H4" s="339" t="b">
        <f t="shared" si="1"/>
        <v>1</v>
      </c>
    </row>
    <row r="5" spans="1:8">
      <c r="A5" s="715">
        <f>IF(ster!$A$1=1,names!B5,IF(ster!$A$1=2,names!C5))</f>
        <v>0</v>
      </c>
      <c r="B5" s="716"/>
      <c r="C5" s="716"/>
      <c r="D5" s="716"/>
      <c r="E5" s="709" t="s">
        <v>429</v>
      </c>
      <c r="F5" s="709" t="str">
        <f t="shared" si="0"/>
        <v>Consumption</v>
      </c>
      <c r="G5" s="709" t="s">
        <v>1836</v>
      </c>
      <c r="H5" s="339" t="b">
        <f t="shared" si="1"/>
        <v>1</v>
      </c>
    </row>
    <row r="6" spans="1:8">
      <c r="A6" s="718" t="str">
        <f>IF(ster!$A$1=1,names!B6,IF(ster!$A$1=2,names!C6))</f>
        <v>Otoczenie makro</v>
      </c>
      <c r="B6" s="716" t="s">
        <v>425</v>
      </c>
      <c r="C6" s="716" t="s">
        <v>788</v>
      </c>
      <c r="D6" s="716"/>
      <c r="E6" s="709" t="s">
        <v>430</v>
      </c>
      <c r="F6" s="709" t="str">
        <f t="shared" si="0"/>
        <v>Selected financial data</v>
      </c>
      <c r="G6" s="709" t="s">
        <v>791</v>
      </c>
      <c r="H6" s="339" t="b">
        <f t="shared" si="1"/>
        <v>1</v>
      </c>
    </row>
    <row r="7" spans="1:8">
      <c r="A7" s="715" t="str">
        <f>IF(ster!$A$1=1,names!B7,IF(ster!$A$1=2,names!C7))</f>
        <v>Parametry makroekonomiczne</v>
      </c>
      <c r="B7" s="716" t="s">
        <v>262</v>
      </c>
      <c r="C7" s="716" t="s">
        <v>824</v>
      </c>
      <c r="D7" s="716"/>
      <c r="E7" s="709" t="s">
        <v>261</v>
      </c>
      <c r="F7" s="709" t="str">
        <f t="shared" si="0"/>
        <v>Key financial data</v>
      </c>
      <c r="G7" s="709" t="s">
        <v>792</v>
      </c>
      <c r="H7" s="339" t="b">
        <f t="shared" si="1"/>
        <v>1</v>
      </c>
    </row>
    <row r="8" spans="1:8">
      <c r="A8" s="715" t="str">
        <f>IF(ster!$A$1=1,names!B8,IF(ster!$A$1=2,names!C8))</f>
        <v>Marże</v>
      </c>
      <c r="B8" s="716" t="s">
        <v>427</v>
      </c>
      <c r="C8" s="716" t="s">
        <v>789</v>
      </c>
      <c r="D8" s="716"/>
      <c r="E8" s="709" t="s">
        <v>583</v>
      </c>
      <c r="F8" s="709" t="str">
        <f t="shared" si="0"/>
        <v>EBITDA, EBIT, Depreciation</v>
      </c>
      <c r="G8" s="709" t="s">
        <v>793</v>
      </c>
      <c r="H8" s="339" t="b">
        <f t="shared" si="1"/>
        <v>1</v>
      </c>
    </row>
    <row r="9" spans="1:8">
      <c r="A9" s="715" t="str">
        <f>IF(ster!$A$1=1,names!B9,IF(ster!$A$1=2,names!C9))</f>
        <v>Kursy</v>
      </c>
      <c r="B9" s="716" t="s">
        <v>428</v>
      </c>
      <c r="C9" s="716" t="s">
        <v>790</v>
      </c>
      <c r="D9" s="716"/>
      <c r="E9" s="709" t="s">
        <v>50</v>
      </c>
      <c r="F9" s="709" t="str">
        <f t="shared" si="0"/>
        <v>Refining</v>
      </c>
      <c r="G9" s="709" t="s">
        <v>794</v>
      </c>
      <c r="H9" s="339" t="b">
        <f t="shared" si="1"/>
        <v>1</v>
      </c>
    </row>
    <row r="10" spans="1:8">
      <c r="A10" s="715" t="str">
        <f>IF(ster!$A$1=1,names!B10,IF(ster!$A$1=2,names!C10))</f>
        <v>Konsumpcja</v>
      </c>
      <c r="B10" s="716" t="s">
        <v>429</v>
      </c>
      <c r="C10" s="716" t="s">
        <v>1836</v>
      </c>
      <c r="D10" s="716"/>
      <c r="E10" s="709" t="s">
        <v>52</v>
      </c>
      <c r="F10" s="709" t="str">
        <f t="shared" si="0"/>
        <v>Petrochemical</v>
      </c>
      <c r="G10" s="709" t="s">
        <v>795</v>
      </c>
      <c r="H10" s="339" t="b">
        <f t="shared" si="1"/>
        <v>1</v>
      </c>
    </row>
    <row r="11" spans="1:8">
      <c r="A11" s="715">
        <f>IF(ster!$A$1=1,names!B11,IF(ster!$A$1=2,names!C11))</f>
        <v>0</v>
      </c>
      <c r="B11" s="716"/>
      <c r="C11" s="716"/>
      <c r="D11" s="716"/>
      <c r="E11" s="709" t="s">
        <v>424</v>
      </c>
      <c r="F11" s="709" t="str">
        <f t="shared" si="0"/>
        <v>Energy</v>
      </c>
      <c r="G11" s="709" t="s">
        <v>796</v>
      </c>
      <c r="H11" s="339" t="b">
        <f t="shared" si="1"/>
        <v>1</v>
      </c>
    </row>
    <row r="12" spans="1:8">
      <c r="A12" s="715" t="str">
        <f>IF(ster!$A$1=1,names!B12,IF(ster!$A$1=2,names!C12))</f>
        <v>Wybrane dane finansowe</v>
      </c>
      <c r="B12" s="716" t="s">
        <v>430</v>
      </c>
      <c r="C12" s="716" t="s">
        <v>791</v>
      </c>
      <c r="D12" s="716"/>
      <c r="E12" s="709" t="s">
        <v>53</v>
      </c>
      <c r="F12" s="709" t="str">
        <f t="shared" si="0"/>
        <v>Retail</v>
      </c>
      <c r="G12" s="709" t="s">
        <v>797</v>
      </c>
      <c r="H12" s="339" t="b">
        <f t="shared" si="1"/>
        <v>1</v>
      </c>
    </row>
    <row r="13" spans="1:8">
      <c r="A13" s="715" t="str">
        <f>IF(ster!$A$1=1,names!B13,IF(ster!$A$1=2,names!C13))</f>
        <v>Kluczowe dane finansowe</v>
      </c>
      <c r="B13" s="716" t="s">
        <v>261</v>
      </c>
      <c r="C13" s="716" t="s">
        <v>792</v>
      </c>
      <c r="D13" s="716"/>
      <c r="E13" s="709" t="s">
        <v>271</v>
      </c>
      <c r="F13" s="709" t="str">
        <f t="shared" si="0"/>
        <v>Upstream</v>
      </c>
      <c r="G13" s="709" t="s">
        <v>798</v>
      </c>
      <c r="H13" s="339" t="b">
        <f t="shared" si="1"/>
        <v>1</v>
      </c>
    </row>
    <row r="14" spans="1:8">
      <c r="A14" s="715" t="str">
        <f>IF(ster!$A$1=1,names!B14,IF(ster!$A$1=2,names!C14))</f>
        <v>EBITDA, EBIT, Amortyzacja</v>
      </c>
      <c r="B14" s="716" t="s">
        <v>583</v>
      </c>
      <c r="C14" s="716" t="s">
        <v>793</v>
      </c>
      <c r="D14" s="716"/>
      <c r="E14" s="709" t="s">
        <v>615</v>
      </c>
      <c r="F14" s="709" t="str">
        <f t="shared" si="0"/>
        <v>Gas</v>
      </c>
      <c r="G14" s="709" t="s">
        <v>799</v>
      </c>
      <c r="H14" s="339" t="b">
        <f t="shared" si="1"/>
        <v>1</v>
      </c>
    </row>
    <row r="15" spans="1:8">
      <c r="A15" s="715" t="str">
        <f>IF(ster!$A$1=1,names!B15,IF(ster!$A$1=2,names!C15))</f>
        <v>Rafineria</v>
      </c>
      <c r="B15" s="716" t="s">
        <v>50</v>
      </c>
      <c r="C15" s="716" t="s">
        <v>794</v>
      </c>
      <c r="D15" s="716"/>
      <c r="E15" s="709" t="s">
        <v>264</v>
      </c>
      <c r="F15" s="709" t="e">
        <f t="shared" si="0"/>
        <v>#N/A</v>
      </c>
      <c r="G15" s="709" t="s">
        <v>800</v>
      </c>
      <c r="H15" s="339" t="e">
        <f t="shared" si="1"/>
        <v>#N/A</v>
      </c>
    </row>
    <row r="16" spans="1:8">
      <c r="A16" s="715" t="str">
        <f>IF(ster!$A$1=1,names!B16,IF(ster!$A$1=2,names!C16))</f>
        <v>Petrochemia</v>
      </c>
      <c r="B16" s="716" t="s">
        <v>52</v>
      </c>
      <c r="C16" s="716" t="s">
        <v>795</v>
      </c>
      <c r="D16" s="716"/>
      <c r="E16" s="709" t="s">
        <v>584</v>
      </c>
      <c r="F16" s="709" t="str">
        <f t="shared" si="0"/>
        <v>P&amp;L</v>
      </c>
      <c r="G16" s="709" t="s">
        <v>801</v>
      </c>
      <c r="H16" s="339" t="b">
        <f t="shared" si="1"/>
        <v>1</v>
      </c>
    </row>
    <row r="17" spans="1:8">
      <c r="A17" s="715" t="str">
        <f>IF(ster!$A$1=1,names!B17,IF(ster!$A$1=2,names!C17))</f>
        <v>Energetyka</v>
      </c>
      <c r="B17" s="716" t="s">
        <v>424</v>
      </c>
      <c r="C17" s="716" t="s">
        <v>796</v>
      </c>
      <c r="D17" s="716"/>
      <c r="E17" s="709" t="s">
        <v>585</v>
      </c>
      <c r="F17" s="709" t="str">
        <f t="shared" si="0"/>
        <v>Balance sheet</v>
      </c>
      <c r="G17" s="709" t="s">
        <v>802</v>
      </c>
      <c r="H17" s="339" t="b">
        <f t="shared" si="1"/>
        <v>1</v>
      </c>
    </row>
    <row r="18" spans="1:8">
      <c r="A18" s="715" t="str">
        <f>IF(ster!$A$1=1,names!B18,IF(ster!$A$1=2,names!C18))</f>
        <v>Detal</v>
      </c>
      <c r="B18" s="716" t="s">
        <v>53</v>
      </c>
      <c r="C18" s="716" t="s">
        <v>797</v>
      </c>
      <c r="D18" s="716"/>
      <c r="E18" s="709" t="s">
        <v>586</v>
      </c>
      <c r="F18" s="709" t="str">
        <f t="shared" si="0"/>
        <v>CashFlow</v>
      </c>
      <c r="G18" s="709" t="s">
        <v>586</v>
      </c>
      <c r="H18" s="339" t="b">
        <f t="shared" si="1"/>
        <v>1</v>
      </c>
    </row>
    <row r="19" spans="1:8">
      <c r="A19" s="715" t="str">
        <f>IF(ster!$A$1=1,names!B19,IF(ster!$A$1=2,names!C19))</f>
        <v>Wydobycie</v>
      </c>
      <c r="B19" s="716" t="s">
        <v>271</v>
      </c>
      <c r="C19" s="716" t="s">
        <v>798</v>
      </c>
      <c r="D19" s="716"/>
      <c r="E19" s="709" t="s">
        <v>431</v>
      </c>
      <c r="F19" s="709" t="str">
        <f t="shared" si="0"/>
        <v>Selected operating data</v>
      </c>
      <c r="G19" s="709" t="s">
        <v>803</v>
      </c>
      <c r="H19" s="339" t="b">
        <f t="shared" si="1"/>
        <v>1</v>
      </c>
    </row>
    <row r="20" spans="1:8">
      <c r="A20" s="715" t="str">
        <f>IF(ster!$A$1=1,names!B20,IF(ster!$A$1=2,names!C20))</f>
        <v>Gaz</v>
      </c>
      <c r="B20" s="716" t="s">
        <v>615</v>
      </c>
      <c r="C20" s="716" t="s">
        <v>799</v>
      </c>
      <c r="D20" s="716"/>
      <c r="E20" s="709" t="s">
        <v>587</v>
      </c>
      <c r="F20" s="709" t="e">
        <f t="shared" si="0"/>
        <v>#N/A</v>
      </c>
      <c r="G20" s="709" t="s">
        <v>804</v>
      </c>
      <c r="H20" s="339" t="e">
        <f t="shared" si="1"/>
        <v>#N/A</v>
      </c>
    </row>
    <row r="21" spans="1:8">
      <c r="A21" s="715" t="str">
        <f>IF(ster!$A$1=1,names!B21,IF(ster!$A$1=2,names!C21))</f>
        <v>Corporate functions</v>
      </c>
      <c r="B21" s="716" t="s">
        <v>800</v>
      </c>
      <c r="C21" s="716" t="s">
        <v>800</v>
      </c>
      <c r="D21" s="716"/>
      <c r="E21" s="709" t="s">
        <v>588</v>
      </c>
      <c r="F21" s="709" t="e">
        <f t="shared" si="0"/>
        <v>#N/A</v>
      </c>
      <c r="G21" s="709" t="s">
        <v>805</v>
      </c>
      <c r="H21" s="339" t="e">
        <f t="shared" si="1"/>
        <v>#N/A</v>
      </c>
    </row>
    <row r="22" spans="1:8">
      <c r="A22" s="715" t="str">
        <f>IF(ster!$A$1=1,names!B22,IF(ster!$A$1=2,names!C22))</f>
        <v>RZiS</v>
      </c>
      <c r="B22" s="716" t="s">
        <v>584</v>
      </c>
      <c r="C22" s="716" t="s">
        <v>801</v>
      </c>
      <c r="D22" s="716"/>
      <c r="E22" s="709" t="s">
        <v>1837</v>
      </c>
      <c r="F22" s="709" t="str">
        <f t="shared" si="0"/>
        <v>Upstream&amp;Supply_Energy</v>
      </c>
      <c r="G22" s="709" t="s">
        <v>1837</v>
      </c>
      <c r="H22" s="339" t="b">
        <f t="shared" si="1"/>
        <v>1</v>
      </c>
    </row>
    <row r="23" spans="1:8">
      <c r="A23" s="715" t="str">
        <f>IF(ster!$A$1=1,names!B23,IF(ster!$A$1=2,names!C23))</f>
        <v>Bilans</v>
      </c>
      <c r="B23" s="716" t="s">
        <v>585</v>
      </c>
      <c r="C23" s="716" t="s">
        <v>802</v>
      </c>
      <c r="D23" s="716"/>
      <c r="E23" s="709" t="s">
        <v>582</v>
      </c>
      <c r="F23" s="709" t="str">
        <f t="shared" si="0"/>
        <v>Historical data</v>
      </c>
      <c r="G23" s="709" t="s">
        <v>806</v>
      </c>
      <c r="H23" s="339" t="b">
        <f t="shared" si="1"/>
        <v>1</v>
      </c>
    </row>
    <row r="24" spans="1:8">
      <c r="A24" s="715" t="str">
        <f>IF(ster!$A$1=1,names!B24,IF(ster!$A$1=2,names!C24))</f>
        <v>CashFlow</v>
      </c>
      <c r="B24" s="716" t="s">
        <v>586</v>
      </c>
      <c r="C24" s="716" t="s">
        <v>586</v>
      </c>
      <c r="D24" s="716"/>
      <c r="E24" s="716" t="s">
        <v>1745</v>
      </c>
      <c r="F24" s="709" t="str">
        <f t="shared" si="0"/>
        <v>Margins  '13-'24</v>
      </c>
      <c r="G24" s="716" t="s">
        <v>1748</v>
      </c>
      <c r="H24" s="339" t="b">
        <f t="shared" si="1"/>
        <v>1</v>
      </c>
    </row>
    <row r="25" spans="1:8">
      <c r="A25" s="715">
        <f>IF(ster!$A$1=1,names!B25,IF(ster!$A$1=2,names!C25))</f>
        <v>0</v>
      </c>
      <c r="B25" s="716"/>
      <c r="C25" s="716"/>
      <c r="D25" s="716"/>
      <c r="E25" s="716" t="s">
        <v>1746</v>
      </c>
      <c r="F25" s="709" t="str">
        <f t="shared" si="0"/>
        <v>Exchange rates  '13-'24</v>
      </c>
      <c r="G25" s="716" t="s">
        <v>1747</v>
      </c>
      <c r="H25" s="339" t="b">
        <f t="shared" si="1"/>
        <v>1</v>
      </c>
    </row>
    <row r="26" spans="1:8">
      <c r="A26" s="715" t="str">
        <f>IF(ster!$A$1=1,names!B26,IF(ster!$A$1=2,names!C26))</f>
        <v>Wybrane dane operacyjne</v>
      </c>
      <c r="B26" s="716" t="s">
        <v>431</v>
      </c>
      <c r="C26" s="716" t="s">
        <v>803</v>
      </c>
      <c r="D26" s="716"/>
      <c r="E26" s="709" t="s">
        <v>1799</v>
      </c>
      <c r="F26" s="709" t="str">
        <f t="shared" si="0"/>
        <v>Consumption '13-'24</v>
      </c>
      <c r="G26" s="709" t="s">
        <v>1798</v>
      </c>
      <c r="H26" s="339" t="b">
        <f t="shared" si="1"/>
        <v>0</v>
      </c>
    </row>
    <row r="27" spans="1:8">
      <c r="A27" s="715" t="str">
        <f>IF(ster!$A$1=1,names!B27,IF(ster!$A$1=2,names!C27))</f>
        <v>Produkcja Downstream</v>
      </c>
      <c r="B27" s="716" t="s">
        <v>1910</v>
      </c>
      <c r="C27" s="716" t="s">
        <v>1986</v>
      </c>
      <c r="D27" s="716"/>
      <c r="E27" s="709" t="s">
        <v>471</v>
      </c>
      <c r="F27" s="709" t="str">
        <f t="shared" si="0"/>
        <v>Key financial data '13-'19</v>
      </c>
      <c r="G27" s="709" t="s">
        <v>807</v>
      </c>
      <c r="H27" s="339" t="b">
        <f t="shared" si="1"/>
        <v>1</v>
      </c>
    </row>
    <row r="28" spans="1:8">
      <c r="A28" s="715" t="str">
        <f>IF(ster!$A$1=1,names!B28,IF(ster!$A$1=2,names!C28))</f>
        <v>Sprzedaż Downstream i C&amp;P</v>
      </c>
      <c r="B28" s="716" t="s">
        <v>1985</v>
      </c>
      <c r="C28" s="716" t="s">
        <v>1987</v>
      </c>
      <c r="D28" s="716"/>
      <c r="E28" s="709" t="s">
        <v>1703</v>
      </c>
      <c r="F28" s="709" t="str">
        <f t="shared" si="0"/>
        <v>Key financial data '19-'24</v>
      </c>
      <c r="G28" s="709" t="s">
        <v>1704</v>
      </c>
      <c r="H28" s="339" t="b">
        <f t="shared" si="1"/>
        <v>1</v>
      </c>
    </row>
    <row r="29" spans="1:8">
      <c r="A29" s="715" t="str">
        <f>IF(ster!$A$1=1,names!B29,IF(ster!$A$1=2,names!C29))</f>
        <v>Upstream&amp;Supply_Energy</v>
      </c>
      <c r="B29" s="716" t="s">
        <v>1837</v>
      </c>
      <c r="C29" s="716" t="s">
        <v>1837</v>
      </c>
      <c r="D29" s="716"/>
      <c r="E29" s="709" t="s">
        <v>472</v>
      </c>
      <c r="F29" s="709" t="str">
        <f t="shared" si="0"/>
        <v>EBITDA, EBIT, Depreciat. '13-'19</v>
      </c>
      <c r="G29" s="709" t="s">
        <v>808</v>
      </c>
      <c r="H29" s="339" t="b">
        <f t="shared" si="1"/>
        <v>1</v>
      </c>
    </row>
    <row r="30" spans="1:8">
      <c r="A30" s="715">
        <f>IF(ster!$A$1=1,names!B30,IF(ster!$A$1=2,names!C30))</f>
        <v>0</v>
      </c>
      <c r="B30" s="716"/>
      <c r="C30" s="716"/>
      <c r="D30" s="716"/>
      <c r="E30" s="709" t="s">
        <v>1701</v>
      </c>
      <c r="F30" s="709" t="str">
        <f t="shared" si="0"/>
        <v>EBITDA, EBIT, Depreciat. '19-'24</v>
      </c>
      <c r="G30" s="709" t="s">
        <v>1702</v>
      </c>
      <c r="H30" s="339" t="b">
        <f t="shared" si="1"/>
        <v>1</v>
      </c>
    </row>
    <row r="31" spans="1:8">
      <c r="A31" s="715" t="str">
        <f>IF(ster!$A$1=1,names!B31,IF(ster!$A$1=2,names!C31))</f>
        <v>Dane historyczne</v>
      </c>
      <c r="B31" s="716" t="s">
        <v>582</v>
      </c>
      <c r="C31" s="716" t="s">
        <v>806</v>
      </c>
      <c r="D31" s="716"/>
      <c r="E31" s="709" t="s">
        <v>473</v>
      </c>
      <c r="F31" s="709" t="str">
        <f t="shared" si="0"/>
        <v>Downstream '13-'19</v>
      </c>
      <c r="G31" s="709" t="s">
        <v>473</v>
      </c>
      <c r="H31" s="339" t="b">
        <f t="shared" si="1"/>
        <v>1</v>
      </c>
    </row>
    <row r="32" spans="1:8">
      <c r="A32" s="715" t="str">
        <f>IF(ster!$A$1=1,names!B32,IF(ster!$A$1=2,names!C32))</f>
        <v>Marże '13-'24</v>
      </c>
      <c r="B32" s="716" t="s">
        <v>1745</v>
      </c>
      <c r="C32" s="716" t="s">
        <v>1748</v>
      </c>
      <c r="D32" s="716"/>
      <c r="E32" s="716" t="s">
        <v>1705</v>
      </c>
      <c r="F32" s="709" t="str">
        <f t="shared" si="0"/>
        <v>Refining '19-'24</v>
      </c>
      <c r="G32" s="716" t="s">
        <v>1708</v>
      </c>
      <c r="H32" s="339" t="b">
        <f t="shared" si="1"/>
        <v>1</v>
      </c>
    </row>
    <row r="33" spans="1:8">
      <c r="A33" s="715" t="str">
        <f>IF(ster!$A$1=1,names!B33,IF(ster!$A$1=2,names!C33))</f>
        <v>Kursy  '13-'24</v>
      </c>
      <c r="B33" s="716" t="s">
        <v>1746</v>
      </c>
      <c r="C33" s="716" t="s">
        <v>1747</v>
      </c>
      <c r="D33" s="716"/>
      <c r="E33" s="716" t="s">
        <v>1706</v>
      </c>
      <c r="F33" s="709" t="str">
        <f t="shared" si="0"/>
        <v>Petrochemical '19-'24</v>
      </c>
      <c r="G33" s="716" t="s">
        <v>1709</v>
      </c>
      <c r="H33" s="339" t="b">
        <f t="shared" si="1"/>
        <v>1</v>
      </c>
    </row>
    <row r="34" spans="1:8">
      <c r="A34" s="715" t="str">
        <f>IF(ster!$A$1=1,names!B34,IF(ster!$A$1=2,names!C34))</f>
        <v>Konsumpcja '13-'24</v>
      </c>
      <c r="B34" s="716" t="s">
        <v>1799</v>
      </c>
      <c r="C34" s="716" t="s">
        <v>1838</v>
      </c>
      <c r="D34" s="716"/>
      <c r="E34" s="716" t="s">
        <v>1707</v>
      </c>
      <c r="F34" s="709" t="str">
        <f t="shared" ref="F34:F58" si="2">VLOOKUP(E34,$B:$C,2,0)</f>
        <v>Energy '19-'24</v>
      </c>
      <c r="G34" s="716" t="s">
        <v>1710</v>
      </c>
      <c r="H34" s="339" t="b">
        <f t="shared" si="1"/>
        <v>1</v>
      </c>
    </row>
    <row r="35" spans="1:8">
      <c r="A35" s="715" t="str">
        <f>IF(ster!$A$1=1,names!B35,IF(ster!$A$1=2,names!C35))</f>
        <v>Kluczowe dane finansowe '13-'19</v>
      </c>
      <c r="B35" s="716" t="s">
        <v>471</v>
      </c>
      <c r="C35" s="716" t="s">
        <v>807</v>
      </c>
      <c r="D35" s="716"/>
      <c r="E35" s="716" t="s">
        <v>1711</v>
      </c>
      <c r="F35" s="709" t="str">
        <f t="shared" si="2"/>
        <v>Retail '13-'24</v>
      </c>
      <c r="G35" s="716" t="s">
        <v>1713</v>
      </c>
      <c r="H35" s="339" t="b">
        <f t="shared" si="1"/>
        <v>1</v>
      </c>
    </row>
    <row r="36" spans="1:8">
      <c r="A36" s="715" t="str">
        <f>IF(ster!$A$1=1,names!B36,IF(ster!$A$1=2,names!C36))</f>
        <v>Kluczowe dane finansowe '19-'24</v>
      </c>
      <c r="B36" s="716" t="s">
        <v>1703</v>
      </c>
      <c r="C36" s="716" t="s">
        <v>1704</v>
      </c>
      <c r="D36" s="716"/>
      <c r="E36" s="716" t="s">
        <v>1712</v>
      </c>
      <c r="F36" s="709" t="str">
        <f t="shared" si="2"/>
        <v>Upstream '13-'24</v>
      </c>
      <c r="G36" s="716" t="s">
        <v>1714</v>
      </c>
      <c r="H36" s="339" t="b">
        <f t="shared" si="1"/>
        <v>1</v>
      </c>
    </row>
    <row r="37" spans="1:8">
      <c r="A37" s="715" t="str">
        <f>IF(ster!$A$1=1,names!B37,IF(ster!$A$1=2,names!C37))</f>
        <v>EBITDA, EBIT, Amort. '13-'19</v>
      </c>
      <c r="B37" s="716" t="s">
        <v>472</v>
      </c>
      <c r="C37" s="716" t="s">
        <v>808</v>
      </c>
      <c r="D37" s="716"/>
      <c r="E37" s="716" t="s">
        <v>1715</v>
      </c>
      <c r="F37" s="709" t="str">
        <f t="shared" si="2"/>
        <v>Gas '22-'24</v>
      </c>
      <c r="G37" s="716" t="s">
        <v>1716</v>
      </c>
      <c r="H37" s="339" t="b">
        <f t="shared" si="1"/>
        <v>1</v>
      </c>
    </row>
    <row r="38" spans="1:8">
      <c r="A38" s="715" t="str">
        <f>IF(ster!$A$1=1,names!B38,IF(ster!$A$1=2,names!C38))</f>
        <v>EBITDA, EBIT, Amort. '19-'24</v>
      </c>
      <c r="B38" s="716" t="s">
        <v>1701</v>
      </c>
      <c r="C38" s="716" t="s">
        <v>1702</v>
      </c>
      <c r="D38" s="716"/>
      <c r="E38" s="716" t="s">
        <v>1839</v>
      </c>
      <c r="F38" s="709" t="str">
        <f t="shared" si="2"/>
        <v>Corporate functions '13-'24</v>
      </c>
      <c r="G38" s="716" t="s">
        <v>1840</v>
      </c>
      <c r="H38" s="339" t="b">
        <f t="shared" si="1"/>
        <v>1</v>
      </c>
    </row>
    <row r="39" spans="1:8">
      <c r="A39" s="715" t="str">
        <f>IF(ster!$A$1=1,names!B39,IF(ster!$A$1=2,names!C39))</f>
        <v>Downstream '13-'19</v>
      </c>
      <c r="B39" s="716" t="s">
        <v>473</v>
      </c>
      <c r="C39" s="716" t="s">
        <v>473</v>
      </c>
      <c r="D39" s="716"/>
      <c r="E39" s="709" t="s">
        <v>474</v>
      </c>
      <c r="F39" s="709" t="str">
        <f t="shared" si="2"/>
        <v>P&amp;L '13-'17</v>
      </c>
      <c r="G39" s="709" t="s">
        <v>809</v>
      </c>
      <c r="H39" s="339" t="b">
        <f t="shared" si="1"/>
        <v>1</v>
      </c>
    </row>
    <row r="40" spans="1:8">
      <c r="A40" s="715" t="str">
        <f>IF(ster!$A$1=1,names!B40,IF(ster!$A$1=2,names!C40))</f>
        <v>Rafineria '19-'24</v>
      </c>
      <c r="B40" s="716" t="s">
        <v>1705</v>
      </c>
      <c r="C40" s="716" t="s">
        <v>1708</v>
      </c>
      <c r="D40" s="716"/>
      <c r="E40" s="709" t="s">
        <v>475</v>
      </c>
      <c r="F40" s="709" t="str">
        <f t="shared" si="2"/>
        <v>P&amp;L '18</v>
      </c>
      <c r="G40" s="709" t="s">
        <v>810</v>
      </c>
      <c r="H40" s="339" t="b">
        <f t="shared" si="1"/>
        <v>1</v>
      </c>
    </row>
    <row r="41" spans="1:8">
      <c r="A41" s="715" t="str">
        <f>IF(ster!$A$1=1,names!B41,IF(ster!$A$1=2,names!C41))</f>
        <v>Petrochemia '19-'24</v>
      </c>
      <c r="B41" s="716" t="s">
        <v>1706</v>
      </c>
      <c r="C41" s="716" t="s">
        <v>1709</v>
      </c>
      <c r="D41" s="716"/>
      <c r="E41" s="709" t="s">
        <v>1847</v>
      </c>
      <c r="F41" s="709" t="str">
        <f t="shared" si="2"/>
        <v>P&amp;L '19-'24</v>
      </c>
      <c r="G41" s="709" t="s">
        <v>1848</v>
      </c>
      <c r="H41" s="339" t="b">
        <f t="shared" si="1"/>
        <v>1</v>
      </c>
    </row>
    <row r="42" spans="1:8">
      <c r="A42" s="715" t="str">
        <f>IF(ster!$A$1=1,names!B42,IF(ster!$A$1=2,names!C42))</f>
        <v>Energetyka '19-'24</v>
      </c>
      <c r="B42" s="716" t="s">
        <v>1707</v>
      </c>
      <c r="C42" s="716" t="s">
        <v>1710</v>
      </c>
      <c r="D42" s="716"/>
      <c r="E42" s="709" t="s">
        <v>476</v>
      </c>
      <c r="F42" s="709" t="str">
        <f t="shared" si="2"/>
        <v>Balance sheet '13-'15</v>
      </c>
      <c r="G42" s="709" t="s">
        <v>811</v>
      </c>
      <c r="H42" s="339" t="b">
        <f t="shared" si="1"/>
        <v>1</v>
      </c>
    </row>
    <row r="43" spans="1:8">
      <c r="A43" s="715" t="str">
        <f>IF(ster!$A$1=1,names!B43,IF(ster!$A$1=2,names!C43))</f>
        <v>Detal '13-'24</v>
      </c>
      <c r="B43" s="716" t="s">
        <v>1711</v>
      </c>
      <c r="C43" s="716" t="s">
        <v>1713</v>
      </c>
      <c r="D43" s="716"/>
      <c r="E43" s="709" t="s">
        <v>477</v>
      </c>
      <c r="F43" s="709" t="str">
        <f t="shared" si="2"/>
        <v>Balance sheet '16</v>
      </c>
      <c r="G43" s="709" t="s">
        <v>812</v>
      </c>
      <c r="H43" s="339" t="b">
        <f t="shared" si="1"/>
        <v>1</v>
      </c>
    </row>
    <row r="44" spans="1:8">
      <c r="A44" s="715" t="str">
        <f>IF(ster!$A$1=1,names!B44,IF(ster!$A$1=2,names!C44))</f>
        <v>Wydobycie '13-'24</v>
      </c>
      <c r="B44" s="716" t="s">
        <v>1712</v>
      </c>
      <c r="C44" s="716" t="s">
        <v>1714</v>
      </c>
      <c r="D44" s="716"/>
      <c r="E44" s="709" t="s">
        <v>479</v>
      </c>
      <c r="F44" s="709" t="str">
        <f t="shared" si="2"/>
        <v>Balance sheet '17-'18</v>
      </c>
      <c r="G44" s="709" t="s">
        <v>813</v>
      </c>
      <c r="H44" s="339" t="b">
        <f t="shared" si="1"/>
        <v>1</v>
      </c>
    </row>
    <row r="45" spans="1:8">
      <c r="A45" s="715" t="str">
        <f>IF(ster!$A$1=1,names!B45,IF(ster!$A$1=2,names!C45))</f>
        <v>Gaz '22-'24</v>
      </c>
      <c r="B45" s="716" t="s">
        <v>1715</v>
      </c>
      <c r="C45" s="716" t="s">
        <v>1716</v>
      </c>
      <c r="D45" s="716"/>
      <c r="E45" s="709" t="s">
        <v>1841</v>
      </c>
      <c r="F45" s="709" t="str">
        <f t="shared" si="2"/>
        <v>Balance sheet '19-'24</v>
      </c>
      <c r="G45" s="709" t="s">
        <v>1842</v>
      </c>
      <c r="H45" s="339" t="b">
        <f t="shared" si="1"/>
        <v>1</v>
      </c>
    </row>
    <row r="46" spans="1:8">
      <c r="A46" s="715" t="str">
        <f>IF(ster!$A$1=1,names!B46,IF(ster!$A$1=2,names!C46))</f>
        <v>Funkcje Korporacyjne '13-'24</v>
      </c>
      <c r="B46" s="716" t="s">
        <v>1839</v>
      </c>
      <c r="C46" s="716" t="s">
        <v>1840</v>
      </c>
      <c r="D46" s="716"/>
      <c r="E46" s="709" t="s">
        <v>465</v>
      </c>
      <c r="F46" s="709" t="str">
        <f t="shared" si="2"/>
        <v>CashFlow '13-'15</v>
      </c>
      <c r="G46" s="709" t="s">
        <v>465</v>
      </c>
      <c r="H46" s="339" t="b">
        <f t="shared" si="1"/>
        <v>1</v>
      </c>
    </row>
    <row r="47" spans="1:8">
      <c r="A47" s="715" t="str">
        <f>IF(ster!$A$1=1,names!B47,IF(ster!$A$1=2,names!C47))</f>
        <v>RZiS '13-'17</v>
      </c>
      <c r="B47" s="716" t="s">
        <v>474</v>
      </c>
      <c r="C47" s="716" t="s">
        <v>809</v>
      </c>
      <c r="D47" s="716"/>
      <c r="E47" s="709" t="s">
        <v>466</v>
      </c>
      <c r="F47" s="709" t="str">
        <f t="shared" si="2"/>
        <v>CashFlow '16-'17</v>
      </c>
      <c r="G47" s="709" t="s">
        <v>466</v>
      </c>
      <c r="H47" s="339" t="b">
        <f t="shared" si="1"/>
        <v>1</v>
      </c>
    </row>
    <row r="48" spans="1:8">
      <c r="A48" s="715" t="str">
        <f>IF(ster!$A$1=1,names!B48,IF(ster!$A$1=2,names!C48))</f>
        <v>RZiS '18</v>
      </c>
      <c r="B48" s="716" t="s">
        <v>475</v>
      </c>
      <c r="C48" s="716" t="s">
        <v>810</v>
      </c>
      <c r="D48" s="716"/>
      <c r="E48" s="709" t="s">
        <v>467</v>
      </c>
      <c r="F48" s="709" t="str">
        <f t="shared" si="2"/>
        <v>CashFlow '18</v>
      </c>
      <c r="G48" s="709" t="s">
        <v>467</v>
      </c>
      <c r="H48" s="339" t="b">
        <f t="shared" si="1"/>
        <v>1</v>
      </c>
    </row>
    <row r="49" spans="1:8">
      <c r="A49" s="715" t="str">
        <f>IF(ster!$A$1=1,names!B49,IF(ster!$A$1=2,names!C49))</f>
        <v>RZiS '19-'24</v>
      </c>
      <c r="B49" s="716" t="s">
        <v>1847</v>
      </c>
      <c r="C49" s="716" t="s">
        <v>1848</v>
      </c>
      <c r="D49" s="716"/>
      <c r="E49" s="709" t="s">
        <v>468</v>
      </c>
      <c r="F49" s="709" t="str">
        <f t="shared" si="2"/>
        <v>CashFlow '19</v>
      </c>
      <c r="G49" s="709" t="s">
        <v>468</v>
      </c>
      <c r="H49" s="339" t="b">
        <f t="shared" si="1"/>
        <v>1</v>
      </c>
    </row>
    <row r="50" spans="1:8">
      <c r="A50" s="715" t="str">
        <f>IF(ster!$A$1=1,names!B50,IF(ster!$A$1=2,names!C50))</f>
        <v>Bilans '13-'15</v>
      </c>
      <c r="B50" s="716" t="s">
        <v>476</v>
      </c>
      <c r="C50" s="716" t="s">
        <v>811</v>
      </c>
      <c r="D50" s="716"/>
      <c r="E50" s="709" t="s">
        <v>469</v>
      </c>
      <c r="F50" s="709" t="str">
        <f t="shared" si="2"/>
        <v>CashFlow '20</v>
      </c>
      <c r="G50" s="709" t="s">
        <v>469</v>
      </c>
      <c r="H50" s="339" t="b">
        <f t="shared" si="1"/>
        <v>1</v>
      </c>
    </row>
    <row r="51" spans="1:8">
      <c r="A51" s="715" t="str">
        <f>IF(ster!$A$1=1,names!B51,IF(ster!$A$1=2,names!C51))</f>
        <v>Bilans '16</v>
      </c>
      <c r="B51" s="716" t="s">
        <v>477</v>
      </c>
      <c r="C51" s="716" t="s">
        <v>812</v>
      </c>
      <c r="D51" s="716"/>
      <c r="E51" s="709" t="s">
        <v>505</v>
      </c>
      <c r="F51" s="709" t="str">
        <f t="shared" si="2"/>
        <v>CashFlow '21</v>
      </c>
      <c r="G51" s="709" t="s">
        <v>505</v>
      </c>
      <c r="H51" s="339" t="b">
        <f t="shared" si="1"/>
        <v>1</v>
      </c>
    </row>
    <row r="52" spans="1:8">
      <c r="A52" s="715" t="str">
        <f>IF(ster!$A$1=1,names!B52,IF(ster!$A$1=2,names!C52))</f>
        <v>Bilans '17-'18</v>
      </c>
      <c r="B52" s="716" t="s">
        <v>479</v>
      </c>
      <c r="C52" s="716" t="s">
        <v>813</v>
      </c>
      <c r="D52" s="716"/>
      <c r="E52" s="709" t="s">
        <v>684</v>
      </c>
      <c r="F52" s="709" t="str">
        <f t="shared" si="2"/>
        <v>CashFlow '22</v>
      </c>
      <c r="G52" s="709" t="s">
        <v>684</v>
      </c>
      <c r="H52" s="339" t="b">
        <f t="shared" si="1"/>
        <v>1</v>
      </c>
    </row>
    <row r="53" spans="1:8">
      <c r="A53" s="715" t="str">
        <f>IF(ster!$A$1=1,names!B53,IF(ster!$A$1=2,names!C53))</f>
        <v>Bilans '19-'24</v>
      </c>
      <c r="B53" s="716" t="s">
        <v>1841</v>
      </c>
      <c r="C53" s="716" t="s">
        <v>1842</v>
      </c>
      <c r="D53" s="716"/>
      <c r="E53" s="709" t="s">
        <v>770</v>
      </c>
      <c r="F53" s="709" t="str">
        <f t="shared" si="2"/>
        <v>CashFlow '23</v>
      </c>
      <c r="G53" s="709" t="s">
        <v>770</v>
      </c>
      <c r="H53" s="339" t="b">
        <f t="shared" si="1"/>
        <v>1</v>
      </c>
    </row>
    <row r="54" spans="1:8">
      <c r="A54" s="715" t="str">
        <f>IF(ster!$A$1=1,names!B54,IF(ster!$A$1=2,names!C54))</f>
        <v>CashFlow '13-'15</v>
      </c>
      <c r="B54" s="716" t="s">
        <v>465</v>
      </c>
      <c r="C54" s="716" t="s">
        <v>465</v>
      </c>
      <c r="D54" s="716"/>
      <c r="E54" s="709" t="s">
        <v>478</v>
      </c>
      <c r="F54" s="709" t="str">
        <f t="shared" si="2"/>
        <v>Production '13-'19</v>
      </c>
      <c r="G54" s="709" t="s">
        <v>814</v>
      </c>
      <c r="H54" s="339" t="b">
        <f t="shared" si="1"/>
        <v>1</v>
      </c>
    </row>
    <row r="55" spans="1:8">
      <c r="A55" s="715" t="str">
        <f>IF(ster!$A$1=1,names!B55,IF(ster!$A$1=2,names!C55))</f>
        <v>CashFlow '16-'17</v>
      </c>
      <c r="B55" s="716" t="s">
        <v>466</v>
      </c>
      <c r="C55" s="716" t="s">
        <v>466</v>
      </c>
      <c r="D55" s="716"/>
      <c r="E55" s="709" t="s">
        <v>470</v>
      </c>
      <c r="F55" s="709" t="str">
        <f t="shared" si="2"/>
        <v>Sales '13-'19</v>
      </c>
      <c r="G55" s="709" t="s">
        <v>815</v>
      </c>
      <c r="H55" s="339" t="b">
        <f t="shared" si="1"/>
        <v>1</v>
      </c>
    </row>
    <row r="56" spans="1:8">
      <c r="A56" s="715" t="str">
        <f>IF(ster!$A$1=1,names!B56,IF(ster!$A$1=2,names!C56))</f>
        <v>CashFlow '18</v>
      </c>
      <c r="B56" s="716" t="s">
        <v>467</v>
      </c>
      <c r="C56" s="716" t="s">
        <v>467</v>
      </c>
      <c r="D56" s="716"/>
      <c r="E56" s="709" t="s">
        <v>1717</v>
      </c>
      <c r="F56" s="709" t="str">
        <f t="shared" si="2"/>
        <v>Sales '19-'24</v>
      </c>
      <c r="G56" s="709" t="s">
        <v>1718</v>
      </c>
      <c r="H56" s="339" t="b">
        <f t="shared" si="1"/>
        <v>1</v>
      </c>
    </row>
    <row r="57" spans="1:8">
      <c r="A57" s="715" t="str">
        <f>IF(ster!$A$1=1,names!B57,IF(ster!$A$1=2,names!C57))</f>
        <v>CashFlow '19</v>
      </c>
      <c r="B57" s="716" t="s">
        <v>468</v>
      </c>
      <c r="C57" s="716" t="s">
        <v>468</v>
      </c>
      <c r="D57" s="716"/>
      <c r="E57" s="709" t="s">
        <v>716</v>
      </c>
      <c r="F57" s="709" t="str">
        <f t="shared" si="2"/>
        <v>Energy_Upstream_Gas_'19-'22</v>
      </c>
      <c r="G57" s="709" t="s">
        <v>1845</v>
      </c>
      <c r="H57" s="339" t="b">
        <f t="shared" si="1"/>
        <v>1</v>
      </c>
    </row>
    <row r="58" spans="1:8">
      <c r="A58" s="715" t="str">
        <f>IF(ster!$A$1=1,names!B58,IF(ster!$A$1=2,names!C58))</f>
        <v>CashFlow '20</v>
      </c>
      <c r="B58" s="716" t="s">
        <v>469</v>
      </c>
      <c r="C58" s="716" t="s">
        <v>469</v>
      </c>
      <c r="D58" s="716"/>
      <c r="E58" s="709" t="s">
        <v>647</v>
      </c>
      <c r="F58" s="709" t="str">
        <f t="shared" si="2"/>
        <v>Companies of the former PGNiG</v>
      </c>
      <c r="G58" s="709" t="s">
        <v>816</v>
      </c>
      <c r="H58" s="339" t="b">
        <f t="shared" si="1"/>
        <v>1</v>
      </c>
    </row>
    <row r="59" spans="1:8">
      <c r="A59" s="715" t="str">
        <f>IF(ster!$A$1=1,names!B59,IF(ster!$A$1=2,names!C59))</f>
        <v>CashFlow '21</v>
      </c>
      <c r="B59" s="716" t="s">
        <v>505</v>
      </c>
      <c r="C59" s="716" t="s">
        <v>505</v>
      </c>
      <c r="D59" s="716"/>
      <c r="G59" s="709"/>
    </row>
    <row r="60" spans="1:8">
      <c r="A60" s="715" t="str">
        <f>IF(ster!$A$1=1,names!B60,IF(ster!$A$1=2,names!C60))</f>
        <v>CashFlow '22</v>
      </c>
      <c r="B60" s="716" t="s">
        <v>684</v>
      </c>
      <c r="C60" s="716" t="s">
        <v>684</v>
      </c>
      <c r="D60" s="716"/>
      <c r="G60" s="709"/>
    </row>
    <row r="61" spans="1:8">
      <c r="A61" s="715" t="str">
        <f>IF(ster!$A$1=1,names!B61,IF(ster!$A$1=2,names!C61))</f>
        <v>CashFlow '23</v>
      </c>
      <c r="B61" s="716" t="s">
        <v>770</v>
      </c>
      <c r="C61" s="716" t="s">
        <v>770</v>
      </c>
      <c r="D61" s="716"/>
    </row>
    <row r="62" spans="1:8">
      <c r="A62" s="715" t="str">
        <f>IF(ster!$A$1=1,names!B62,IF(ster!$A$1=2,names!C62))</f>
        <v>CashFlow '24</v>
      </c>
      <c r="B62" s="716" t="s">
        <v>1843</v>
      </c>
      <c r="C62" s="716" t="s">
        <v>1843</v>
      </c>
      <c r="D62" s="716"/>
      <c r="G62" s="709"/>
    </row>
    <row r="63" spans="1:8">
      <c r="A63" s="715" t="str">
        <f>IF(ster!$A$1=1,names!B63,IF(ster!$A$1=2,names!C63))</f>
        <v>Produkcja '13-'19</v>
      </c>
      <c r="B63" s="716" t="s">
        <v>478</v>
      </c>
      <c r="C63" s="716" t="s">
        <v>814</v>
      </c>
      <c r="D63" s="716"/>
      <c r="G63" s="709"/>
    </row>
    <row r="64" spans="1:8">
      <c r="A64" s="715" t="str">
        <f>IF(ster!$A$1=1,names!B64,IF(ster!$A$1=2,names!C64))</f>
        <v>Produkcja '19-'24</v>
      </c>
      <c r="B64" s="716" t="s">
        <v>1983</v>
      </c>
      <c r="C64" s="716" t="s">
        <v>1984</v>
      </c>
      <c r="D64" s="716"/>
      <c r="G64" s="709"/>
    </row>
    <row r="65" spans="1:7">
      <c r="A65" s="715" t="str">
        <f>IF(ster!$A$1=1,names!B65,IF(ster!$A$1=2,names!C65))</f>
        <v>Sprzedaż '13-'19</v>
      </c>
      <c r="B65" s="716" t="s">
        <v>470</v>
      </c>
      <c r="C65" s="716" t="s">
        <v>815</v>
      </c>
      <c r="D65" s="716"/>
      <c r="G65" s="709"/>
    </row>
    <row r="66" spans="1:7">
      <c r="A66" s="715" t="str">
        <f>IF(ster!$A$1=1,names!B66,IF(ster!$A$1=2,names!C66))</f>
        <v>Sprzedaż '19-'24</v>
      </c>
      <c r="B66" s="716" t="s">
        <v>1717</v>
      </c>
      <c r="C66" s="716" t="s">
        <v>1718</v>
      </c>
      <c r="D66" s="716"/>
      <c r="G66" s="709"/>
    </row>
    <row r="67" spans="1:7">
      <c r="A67" s="715" t="str">
        <f>IF(ster!$A$1=1,names!B67,IF(ster!$A$1=2,names!C67))</f>
        <v>Energ_Wydoby_Gaz_'19-'22</v>
      </c>
      <c r="B67" s="716" t="s">
        <v>716</v>
      </c>
      <c r="C67" s="716" t="s">
        <v>1845</v>
      </c>
      <c r="D67" s="716"/>
      <c r="G67" s="709"/>
    </row>
    <row r="68" spans="1:7">
      <c r="A68" s="715" t="str">
        <f>IF(ster!$A$1=1,names!B68,IF(ster!$A$1=2,names!C68))</f>
        <v>Energ_Wydoby_Gaz_'23-'24</v>
      </c>
      <c r="B68" s="716" t="s">
        <v>1844</v>
      </c>
      <c r="C68" s="716" t="s">
        <v>1846</v>
      </c>
      <c r="D68" s="716"/>
      <c r="G68" s="709"/>
    </row>
    <row r="69" spans="1:7">
      <c r="A69" s="715" t="str">
        <f>IF(ster!$A$1=1,names!B69,IF(ster!$A$1=2,names!C69))</f>
        <v>Spółki dawnej Grupy PGNiG</v>
      </c>
      <c r="B69" s="716" t="s">
        <v>647</v>
      </c>
      <c r="C69" s="716" t="s">
        <v>816</v>
      </c>
      <c r="D69" s="716"/>
      <c r="G69" s="709"/>
    </row>
    <row r="70" spans="1:7">
      <c r="A70" s="715">
        <f>IF(ster!$A$1=1,names!B70,IF(ster!$A$1=2,names!C70))</f>
        <v>0</v>
      </c>
      <c r="B70" s="716"/>
      <c r="C70" s="716"/>
      <c r="D70" s="716"/>
      <c r="G70" s="709"/>
    </row>
    <row r="71" spans="1:7">
      <c r="A71" s="715" t="str">
        <f>IF(ster!$A$1=1,names!B71,IF(ster!$A$1=2,names!C71))</f>
        <v>Otoczenie makro</v>
      </c>
      <c r="B71" s="717" t="s">
        <v>425</v>
      </c>
      <c r="C71" s="716" t="s">
        <v>788</v>
      </c>
      <c r="D71" s="716"/>
      <c r="G71" s="709"/>
    </row>
    <row r="72" spans="1:7">
      <c r="A72" s="715" t="str">
        <f>IF(ster!$A$1=1,names!B72,IF(ster!$A$1=2,names!C72))</f>
        <v>Marże</v>
      </c>
      <c r="B72" s="717" t="s">
        <v>427</v>
      </c>
      <c r="C72" s="716"/>
      <c r="D72" s="716"/>
      <c r="G72" s="709"/>
    </row>
    <row r="73" spans="1:7">
      <c r="A73" s="715" t="str">
        <f>IF(ster!$A$1=1,names!B73,IF(ster!$A$1=2,names!C73))</f>
        <v>Parametry makroekonomiczne</v>
      </c>
      <c r="B73" s="716" t="s">
        <v>262</v>
      </c>
      <c r="C73" s="716" t="s">
        <v>824</v>
      </c>
      <c r="D73" s="716"/>
      <c r="G73" s="709"/>
    </row>
    <row r="74" spans="1:7">
      <c r="A74" s="715" t="str">
        <f>IF(ster!$A$1=1,names!B74,IF(ster!$A$1=2,names!C74))</f>
        <v>Wyszczególnienie</v>
      </c>
      <c r="B74" s="716" t="s">
        <v>16</v>
      </c>
      <c r="C74" s="716" t="s">
        <v>825</v>
      </c>
      <c r="D74" s="716"/>
      <c r="G74" s="709"/>
    </row>
    <row r="75" spans="1:7">
      <c r="A75" s="715">
        <f>IF(ster!$A$1=1,names!B75,IF(ster!$A$1=2,names!C75))</f>
        <v>0</v>
      </c>
      <c r="B75" s="716"/>
      <c r="C75" s="716"/>
      <c r="D75" s="716"/>
      <c r="G75" s="709"/>
    </row>
    <row r="76" spans="1:7">
      <c r="A76" s="715" t="str">
        <f>IF(ster!$A$1=1,names!B76,IF(ster!$A$1=2,names!C76))</f>
        <v>Ropa naftowa Brent (USD/bbl)</v>
      </c>
      <c r="B76" s="716" t="s">
        <v>116</v>
      </c>
      <c r="C76" s="716" t="s">
        <v>826</v>
      </c>
      <c r="D76" s="716"/>
      <c r="G76" s="709"/>
    </row>
    <row r="77" spans="1:7">
      <c r="A77" s="715" t="str">
        <f>IF(ster!$A$1=1,names!B77,IF(ster!$A$1=2,names!C77))</f>
        <v>Dyferencjał 1)</v>
      </c>
      <c r="B77" s="716" t="s">
        <v>1493</v>
      </c>
      <c r="C77" s="716" t="s">
        <v>1494</v>
      </c>
      <c r="D77" s="716"/>
      <c r="G77" s="709"/>
    </row>
    <row r="78" spans="1:7">
      <c r="A78" s="715" t="str">
        <f>IF(ster!$A$1=1,names!B78,IF(ster!$A$1=2,names!C78))</f>
        <v>Ropa WTI (USD/bbl)</v>
      </c>
      <c r="B78" s="716" t="s">
        <v>149</v>
      </c>
      <c r="C78" s="716" t="s">
        <v>827</v>
      </c>
      <c r="D78" s="716"/>
      <c r="G78" s="709"/>
    </row>
    <row r="79" spans="1:7">
      <c r="A79" s="715" t="str">
        <f>IF(ster!$A$1=1,names!B79,IF(ster!$A$1=2,names!C79))</f>
        <v>Ropa Canadian Light Sweet (USD/bbl)</v>
      </c>
      <c r="B79" s="716" t="s">
        <v>153</v>
      </c>
      <c r="C79" s="716" t="s">
        <v>828</v>
      </c>
      <c r="D79" s="716"/>
      <c r="G79" s="709"/>
    </row>
    <row r="80" spans="1:7">
      <c r="A80" s="715" t="str">
        <f>IF(ster!$A$1=1,names!B80,IF(ster!$A$1=2,names!C80))</f>
        <v>Gaz Henry Hub (USD/1000m3)</v>
      </c>
      <c r="B80" s="716" t="s">
        <v>817</v>
      </c>
      <c r="C80" s="716" t="s">
        <v>829</v>
      </c>
      <c r="D80" s="716"/>
      <c r="G80" s="709"/>
    </row>
    <row r="81" spans="1:7">
      <c r="A81" s="715" t="str">
        <f>IF(ster!$A$1=1,names!B81,IF(ster!$A$1=2,names!C81))</f>
        <v>Gaz NGX AB-NIT (2A) (USD/1000m3)</v>
      </c>
      <c r="B81" s="716" t="s">
        <v>818</v>
      </c>
      <c r="C81" s="716" t="s">
        <v>830</v>
      </c>
      <c r="D81" s="716"/>
      <c r="G81" s="709"/>
    </row>
    <row r="82" spans="1:7">
      <c r="A82" s="715" t="str">
        <f>IF(ster!$A$1=1,names!B82,IF(ster!$A$1=2,names!C82))</f>
        <v>Modelowa marża downstream (USD/bbl) 2)</v>
      </c>
      <c r="B82" s="716" t="s">
        <v>1486</v>
      </c>
      <c r="C82" s="716" t="s">
        <v>1489</v>
      </c>
      <c r="D82" s="716"/>
      <c r="G82" s="709"/>
    </row>
    <row r="83" spans="1:7">
      <c r="A83" s="715" t="str">
        <f>IF(ster!$A$1=1,names!B83,IF(ster!$A$1=2,names!C83))</f>
        <v>Modelowa marża rafineryjna (USD/bbl) 3)</v>
      </c>
      <c r="B83" s="716" t="s">
        <v>1487</v>
      </c>
      <c r="C83" s="716" t="s">
        <v>1490</v>
      </c>
      <c r="D83" s="716"/>
      <c r="G83" s="709"/>
    </row>
    <row r="84" spans="1:7">
      <c r="A84" s="715" t="str">
        <f>IF(ster!$A$1=1,names!B84,IF(ster!$A$1=2,names!C84))</f>
        <v>Modelowa marża petrochemiczna (EUR/t) 4)</v>
      </c>
      <c r="B84" s="716" t="s">
        <v>1488</v>
      </c>
      <c r="C84" s="716" t="s">
        <v>1491</v>
      </c>
      <c r="D84" s="716"/>
      <c r="G84" s="709"/>
    </row>
    <row r="85" spans="1:7">
      <c r="A85" s="715" t="str">
        <f>IF(ster!$A$1=1,names!B85,IF(ster!$A$1=2,names!C85))</f>
        <v>Modelowa marża olefinowa (EUR/t) 5)</v>
      </c>
      <c r="B85" s="716" t="s">
        <v>1485</v>
      </c>
      <c r="C85" s="716" t="s">
        <v>1492</v>
      </c>
      <c r="D85" s="716"/>
      <c r="G85" s="709"/>
    </row>
    <row r="86" spans="1:7">
      <c r="A86" s="715" t="str">
        <f>IF(ster!$A$1=1,names!B86,IF(ster!$A$1=2,names!C86))</f>
        <v>Energia elektryczna (PLN/MWh)  6)</v>
      </c>
      <c r="B86" s="716" t="s">
        <v>1482</v>
      </c>
      <c r="C86" s="716" t="s">
        <v>1483</v>
      </c>
      <c r="D86" s="716"/>
      <c r="G86" s="709"/>
    </row>
    <row r="87" spans="1:7">
      <c r="A87" s="715" t="str">
        <f>IF(ster!$A$1=1,names!B87,IF(ster!$A$1=2,names!C87))</f>
        <v>Gaz ziemny (PLN/MWh)  6)</v>
      </c>
      <c r="B87" s="716" t="s">
        <v>1481</v>
      </c>
      <c r="C87" s="716" t="s">
        <v>1484</v>
      </c>
      <c r="D87" s="716"/>
      <c r="G87" s="709"/>
    </row>
    <row r="88" spans="1:7">
      <c r="A88" s="715">
        <f>IF(ster!$A$1=1,names!B88,IF(ster!$A$1=2,names!C88))</f>
        <v>0</v>
      </c>
      <c r="B88" s="716"/>
      <c r="C88" s="716"/>
      <c r="D88" s="716"/>
      <c r="G88" s="709"/>
    </row>
    <row r="89" spans="1:7">
      <c r="A89" s="715" t="str">
        <f>IF(ster!$A$1=1,names!B89,IF(ster!$A$1=2,names!C89))</f>
        <v xml:space="preserve">Marże (crack) z notowań </v>
      </c>
      <c r="B89" s="716" t="s">
        <v>117</v>
      </c>
      <c r="C89" s="716" t="s">
        <v>831</v>
      </c>
      <c r="D89" s="716"/>
      <c r="G89" s="709"/>
    </row>
    <row r="90" spans="1:7">
      <c r="A90" s="715" t="str">
        <f>IF(ster!$A$1=1,names!B90,IF(ster!$A$1=2,names!C90))</f>
        <v>Produkty rafineryjne (USD/t)  7)</v>
      </c>
      <c r="B90" s="716" t="s">
        <v>1572</v>
      </c>
      <c r="C90" s="716" t="s">
        <v>1571</v>
      </c>
      <c r="D90" s="716"/>
      <c r="G90" s="709"/>
    </row>
    <row r="91" spans="1:7">
      <c r="A91" s="715" t="str">
        <f>IF(ster!$A$1=1,names!B91,IF(ster!$A$1=2,names!C91))</f>
        <v>Benzyna</v>
      </c>
      <c r="B91" s="716" t="s">
        <v>98</v>
      </c>
      <c r="C91" s="716" t="s">
        <v>832</v>
      </c>
      <c r="D91" s="716"/>
      <c r="G91" s="709"/>
    </row>
    <row r="92" spans="1:7">
      <c r="A92" s="715" t="str">
        <f>IF(ster!$A$1=1,names!B92,IF(ster!$A$1=2,names!C92))</f>
        <v>ON</v>
      </c>
      <c r="B92" s="716" t="s">
        <v>12</v>
      </c>
      <c r="C92" s="716" t="s">
        <v>833</v>
      </c>
      <c r="D92" s="716"/>
    </row>
    <row r="93" spans="1:7">
      <c r="A93" s="715" t="str">
        <f>IF(ster!$A$1=1,names!B93,IF(ster!$A$1=2,names!C93))</f>
        <v>Lekki olej opałowy</v>
      </c>
      <c r="B93" s="716" t="s">
        <v>49</v>
      </c>
      <c r="C93" s="716" t="s">
        <v>834</v>
      </c>
      <c r="D93" s="716"/>
    </row>
    <row r="94" spans="1:7">
      <c r="A94" s="715" t="str">
        <f>IF(ster!$A$1=1,names!B94,IF(ster!$A$1=2,names!C94))</f>
        <v>Jet A-1</v>
      </c>
      <c r="B94" s="716" t="s">
        <v>101</v>
      </c>
      <c r="C94" s="716" t="s">
        <v>835</v>
      </c>
      <c r="D94" s="716"/>
    </row>
    <row r="95" spans="1:7">
      <c r="A95" s="715" t="str">
        <f>IF(ster!$A$1=1,names!B95,IF(ster!$A$1=2,names!C95))</f>
        <v>Ciężki olej opałowy</v>
      </c>
      <c r="B95" s="716" t="s">
        <v>99</v>
      </c>
      <c r="C95" s="716" t="s">
        <v>836</v>
      </c>
      <c r="D95" s="716"/>
    </row>
    <row r="96" spans="1:7">
      <c r="A96" s="715" t="str">
        <f>IF(ster!$A$1=1,names!B96,IF(ster!$A$1=2,names!C96))</f>
        <v>SN 150</v>
      </c>
      <c r="B96" s="716" t="s">
        <v>150</v>
      </c>
      <c r="C96" s="716" t="s">
        <v>150</v>
      </c>
      <c r="D96" s="716"/>
    </row>
    <row r="97" spans="1:4">
      <c r="A97" s="715" t="str">
        <f>IF(ster!$A$1=1,names!B97,IF(ster!$A$1=2,names!C97))</f>
        <v>Produkty petrochemiczne (EUR/t)  7)</v>
      </c>
      <c r="B97" s="716" t="s">
        <v>1573</v>
      </c>
      <c r="C97" s="716" t="s">
        <v>1574</v>
      </c>
      <c r="D97" s="716"/>
    </row>
    <row r="98" spans="1:4">
      <c r="A98" s="715" t="str">
        <f>IF(ster!$A$1=1,names!B98,IF(ster!$A$1=2,names!C98))</f>
        <v>Polietylen 8)</v>
      </c>
      <c r="B98" s="716" t="s">
        <v>1859</v>
      </c>
      <c r="C98" s="716" t="s">
        <v>1861</v>
      </c>
      <c r="D98" s="716"/>
    </row>
    <row r="99" spans="1:4">
      <c r="A99" s="715" t="str">
        <f>IF(ster!$A$1=1,names!B99,IF(ster!$A$1=2,names!C99))</f>
        <v>Polipropylen 8)</v>
      </c>
      <c r="B99" s="716" t="s">
        <v>1860</v>
      </c>
      <c r="C99" s="716" t="s">
        <v>1862</v>
      </c>
      <c r="D99" s="716"/>
    </row>
    <row r="100" spans="1:4">
      <c r="A100" s="715" t="str">
        <f>IF(ster!$A$1=1,names!B100,IF(ster!$A$1=2,names!C100))</f>
        <v>Etylen</v>
      </c>
      <c r="B100" s="716" t="s">
        <v>31</v>
      </c>
      <c r="C100" s="716" t="s">
        <v>837</v>
      </c>
      <c r="D100" s="716"/>
    </row>
    <row r="101" spans="1:4">
      <c r="A101" s="715" t="str">
        <f>IF(ster!$A$1=1,names!B101,IF(ster!$A$1=2,names!C101))</f>
        <v>Propylen</v>
      </c>
      <c r="B101" s="716" t="s">
        <v>32</v>
      </c>
      <c r="C101" s="716" t="s">
        <v>838</v>
      </c>
      <c r="D101" s="716"/>
    </row>
    <row r="102" spans="1:4">
      <c r="A102" s="715" t="str">
        <f>IF(ster!$A$1=1,names!B102,IF(ster!$A$1=2,names!C102))</f>
        <v>Toluen</v>
      </c>
      <c r="B102" s="716" t="s">
        <v>97</v>
      </c>
      <c r="C102" s="716" t="s">
        <v>839</v>
      </c>
      <c r="D102" s="716"/>
    </row>
    <row r="103" spans="1:4">
      <c r="A103" s="715" t="str">
        <f>IF(ster!$A$1=1,names!B103,IF(ster!$A$1=2,names!C103))</f>
        <v>Benzen</v>
      </c>
      <c r="B103" s="716" t="s">
        <v>95</v>
      </c>
      <c r="C103" s="716" t="s">
        <v>840</v>
      </c>
      <c r="D103" s="716"/>
    </row>
    <row r="104" spans="1:4">
      <c r="A104" s="715" t="str">
        <f>IF(ster!$A$1=1,names!B104,IF(ster!$A$1=2,names!C104))</f>
        <v>Butadien</v>
      </c>
      <c r="B104" s="716" t="s">
        <v>51</v>
      </c>
      <c r="C104" s="716" t="s">
        <v>841</v>
      </c>
      <c r="D104" s="716"/>
    </row>
    <row r="105" spans="1:4">
      <c r="A105" s="715" t="str">
        <f>IF(ster!$A$1=1,names!B105,IF(ster!$A$1=2,names!C105))</f>
        <v>Paraksylen</v>
      </c>
      <c r="B105" s="716" t="s">
        <v>96</v>
      </c>
      <c r="C105" s="716" t="s">
        <v>842</v>
      </c>
      <c r="D105" s="716"/>
    </row>
    <row r="106" spans="1:4" ht="221.25">
      <c r="A106" s="715" t="str">
        <f>IF(ster!$A$1=1,names!B106,IF(ster!$A$1=2,names!C106))</f>
        <v>1) Od stycznia 2021 zmiana sposobu prezentacji Dyferencjału URAL / Brent zgodnie z funkcjonowaniem rynku ropy.
    a) Cena Urals &lt; Cena Brent - dyferencjał prezentowany jest ze znakiem ujemnym [-] i ma pozytywny wpływ na wyniki finansowe z tytułu tańszego wsadu,
    b) Cena Urals &gt; Cena Brent - dyferencjał prezentowany jest ze znakiem dodatnim [+] i ma negatywny wpływ na wyniki finansowe z tytułu droższego wsadu.
W celu zachowania porównywalności dane historyczne za lata 2013-2020 zostały skorygowane.
Od 1 stycznia 2022 Dyferencjał z notowań liczony na bazie rzeczywistego udziału przerabianych rop w danym okresie. Notowania rynkowe spot.</v>
      </c>
      <c r="B106" s="716" t="s">
        <v>589</v>
      </c>
      <c r="C106" s="716" t="s">
        <v>900</v>
      </c>
      <c r="D106" s="716"/>
    </row>
    <row r="107" spans="1:4" ht="79.5">
      <c r="A107" s="715" t="str">
        <f>IF(ster!$A$1=1,names!B107,IF(ster!$A$1=2,names!C107))</f>
        <v>2) Modelowa marża downstream (MMD) = Przychody (90,7% Produkty = 22,8% Benzyna + 44,2% ON + 15,3% COO + 1,0% SN 150 + 2,9% Etylen + 2,1% Propylen + 1,2% Benzen + 1,2% PX) – Koszty (wsad 100% = 6,5% Ropa Brent + 91,1% Ropa URAL + 2,4% Gaz ziemny).</v>
      </c>
      <c r="B107" s="716" t="s">
        <v>819</v>
      </c>
      <c r="C107" s="716" t="s">
        <v>843</v>
      </c>
      <c r="D107" s="716"/>
    </row>
    <row r="108" spans="1:4" ht="142.5">
      <c r="A108" s="715" t="str">
        <f>IF(ster!$A$1=1,names!B108,IF(ster!$A$1=2,names!C108))</f>
        <v>3) Modelowa marża rafineryjna = Przychody (Produkty (93,5%) = 36% Benzyna + 43% ON + 14,5% COO) minus koszty (100% wsadu: ropa Brent i pozostałe surowce wyceniane po ropie Brent); ceny produktów wg notowań USD/bbl. Od 1 sierpnia 2022 roku modelowa marża rafineryjna liczona według formuły:  Modelowa marża rafineryjna = Przychody (Produkty (93,6%) = 33% Benzyna + 48% ON + 13% COO) minus koszty (100% wsadu: 98% Ropa Brent + 2% Gaz ziemny). Ceny produktów wg notowań USD/bbl.</v>
      </c>
      <c r="B108" s="716" t="s">
        <v>820</v>
      </c>
      <c r="C108" s="716" t="s">
        <v>844</v>
      </c>
      <c r="D108" s="716"/>
    </row>
    <row r="109" spans="1:4" ht="79.5">
      <c r="A109" s="715" t="str">
        <f>IF(ster!$A$1=1,names!B109,IF(ster!$A$1=2,names!C109))</f>
        <v>4) Modelowa marża petrochemiczna = Przychody (98% Produkty = 44% HDPE +  7% LDPE + 35% PP homo + 12% PP copo) - ceny produktów wg notowań kontraktowych minus koszty (100% wsadu = 75% Nafta + 25% LS VGO) - ceny produktów wg notowań spot.</v>
      </c>
      <c r="B109" s="716" t="s">
        <v>821</v>
      </c>
      <c r="C109" s="716" t="s">
        <v>845</v>
      </c>
      <c r="D109" s="716"/>
    </row>
    <row r="110" spans="1:4" ht="174">
      <c r="A110" s="715" t="str">
        <f>IF(ster!$A$1=1,names!B110,IF(ster!$A$1=2,names!C110))</f>
        <v>5) Modelowa marża petrochemiczna na olefinach = przychody (100% Produkty = 50% Etylen + 30% Propylen + 10% Benzen + 10% Toluen) – ceny produktów wg notowań kontraktowych minus koszty(100% wsadu = 75% Nafta + 25% LS VGO); ceny produktów wg notowań.                                                                                                                                                                                                                                                                                                                                                                                     Od 2016 roku Modelowa marża petrochemiczna na olefinach = Przychody (100% Produkty = 0,85*Etylen*54% + 0,92*Propylen*28% + 0,84*Glikole*9% + 0,81*Butadien*6% + 0,8*Tlenek Etylenu*3%) minus koszty (100% Wsad = 100% Nafta); ceny produktów wg notowań.</v>
      </c>
      <c r="B110" s="716" t="s">
        <v>847</v>
      </c>
      <c r="C110" s="716" t="s">
        <v>846</v>
      </c>
      <c r="D110" s="716"/>
    </row>
    <row r="111" spans="1:4" ht="32.25">
      <c r="A111" s="715" t="str">
        <f>IF(ster!$A$1=1,names!B111,IF(ster!$A$1=2,names!C111))</f>
        <v>6) Na bazie notowań indeksu TGEgasDA publikowanych przez Towarową Giełdę Energii (TGE).</v>
      </c>
      <c r="B111" s="716" t="s">
        <v>746</v>
      </c>
      <c r="C111" s="716" t="s">
        <v>848</v>
      </c>
      <c r="D111" s="716"/>
    </row>
    <row r="112" spans="1:4" ht="63.75">
      <c r="A112" s="715" t="str">
        <f>IF(ster!$A$1=1,names!B112,IF(ster!$A$1=2,names!C112))</f>
        <v>7) Marże (crack) dla produktów rafineryjnych i petrochemicznych (z wyjątkiem polimerów) wyliczone jako różnica pomiędzy notowaniem danego produktu a notowaniem ropy Brent DTD.</v>
      </c>
      <c r="B112" s="716" t="s">
        <v>822</v>
      </c>
      <c r="C112" s="716" t="s">
        <v>849</v>
      </c>
      <c r="D112" s="716"/>
    </row>
    <row r="113" spans="1:4" ht="32.25">
      <c r="A113" s="715" t="str">
        <f>IF(ster!$A$1=1,names!B113,IF(ster!$A$1=2,names!C113))</f>
        <v>8) Marża (crack) dla polimerów wyliczona jako różnica pomiędzy notowaniami polimerów a notowaniami monomerów.</v>
      </c>
      <c r="B113" s="716" t="s">
        <v>823</v>
      </c>
      <c r="C113" s="716" t="s">
        <v>850</v>
      </c>
      <c r="D113" s="716"/>
    </row>
    <row r="114" spans="1:4" ht="32.25">
      <c r="A114" s="715" t="str">
        <f>IF(ster!$A$1=1,names!B114,IF(ster!$A$1=2,names!C114))</f>
        <v>I kw.
2013</v>
      </c>
      <c r="B114" s="716" t="s">
        <v>181</v>
      </c>
      <c r="C114" s="716" t="s">
        <v>1338</v>
      </c>
      <c r="D114" s="716"/>
    </row>
    <row r="115" spans="1:4" ht="32.25">
      <c r="A115" s="715" t="str">
        <f>IF(ster!$A$1=1,names!B115,IF(ster!$A$1=2,names!C115))</f>
        <v>II kw.
2013</v>
      </c>
      <c r="B115" s="716" t="s">
        <v>182</v>
      </c>
      <c r="C115" s="716" t="s">
        <v>1339</v>
      </c>
      <c r="D115" s="716"/>
    </row>
    <row r="116" spans="1:4" ht="32.25">
      <c r="A116" s="715" t="str">
        <f>IF(ster!$A$1=1,names!B116,IF(ster!$A$1=2,names!C116))</f>
        <v>III kw.
2013</v>
      </c>
      <c r="B116" s="716" t="s">
        <v>183</v>
      </c>
      <c r="C116" s="716" t="s">
        <v>1340</v>
      </c>
      <c r="D116" s="716"/>
    </row>
    <row r="117" spans="1:4" ht="32.25">
      <c r="A117" s="715" t="str">
        <f>IF(ster!$A$1=1,names!B117,IF(ster!$A$1=2,names!C117))</f>
        <v>IV kw.
2013</v>
      </c>
      <c r="B117" s="716" t="s">
        <v>160</v>
      </c>
      <c r="C117" s="716" t="s">
        <v>1341</v>
      </c>
      <c r="D117" s="716"/>
    </row>
    <row r="118" spans="1:4" ht="32.25">
      <c r="A118" s="715" t="str">
        <f>IF(ster!$A$1=1,names!B118,IF(ster!$A$1=2,names!C118))</f>
        <v>12 m-cy
2013</v>
      </c>
      <c r="B118" s="716" t="s">
        <v>184</v>
      </c>
      <c r="C118" s="716" t="s">
        <v>875</v>
      </c>
      <c r="D118" s="716"/>
    </row>
    <row r="119" spans="1:4" ht="32.25">
      <c r="A119" s="715" t="str">
        <f>IF(ster!$A$1=1,names!B119,IF(ster!$A$1=2,names!C119))</f>
        <v>I kw.
2014</v>
      </c>
      <c r="B119" s="716" t="s">
        <v>162</v>
      </c>
      <c r="C119" s="716" t="s">
        <v>1035</v>
      </c>
      <c r="D119" s="716"/>
    </row>
    <row r="120" spans="1:4" ht="32.25">
      <c r="A120" s="715" t="str">
        <f>IF(ster!$A$1=1,names!B120,IF(ster!$A$1=2,names!C120))</f>
        <v>II kw.
2014</v>
      </c>
      <c r="B120" s="716" t="s">
        <v>164</v>
      </c>
      <c r="C120" s="716" t="s">
        <v>1036</v>
      </c>
      <c r="D120" s="716"/>
    </row>
    <row r="121" spans="1:4" ht="32.25">
      <c r="A121" s="715" t="str">
        <f>IF(ster!$A$1=1,names!B121,IF(ster!$A$1=2,names!C121))</f>
        <v>III kw.
2014</v>
      </c>
      <c r="B121" s="716" t="s">
        <v>165</v>
      </c>
      <c r="C121" s="716" t="s">
        <v>1037</v>
      </c>
      <c r="D121" s="716"/>
    </row>
    <row r="122" spans="1:4" ht="32.25">
      <c r="A122" s="715" t="str">
        <f>IF(ster!$A$1=1,names!B122,IF(ster!$A$1=2,names!C122))</f>
        <v>IV kw.
2014</v>
      </c>
      <c r="B122" s="716" t="s">
        <v>166</v>
      </c>
      <c r="C122" s="716" t="s">
        <v>1038</v>
      </c>
      <c r="D122" s="716"/>
    </row>
    <row r="123" spans="1:4" ht="32.25">
      <c r="A123" s="715" t="str">
        <f>IF(ster!$A$1=1,names!B123,IF(ster!$A$1=2,names!C123))</f>
        <v>12 m-cy
2014</v>
      </c>
      <c r="B123" s="716" t="s">
        <v>185</v>
      </c>
      <c r="C123" s="716" t="s">
        <v>876</v>
      </c>
      <c r="D123" s="716"/>
    </row>
    <row r="124" spans="1:4" ht="32.25">
      <c r="A124" s="715" t="str">
        <f>IF(ster!$A$1=1,names!B124,IF(ster!$A$1=2,names!C124))</f>
        <v>I kw.
2015</v>
      </c>
      <c r="B124" s="716" t="s">
        <v>167</v>
      </c>
      <c r="C124" s="716" t="s">
        <v>1039</v>
      </c>
      <c r="D124" s="716"/>
    </row>
    <row r="125" spans="1:4" ht="32.25">
      <c r="A125" s="715" t="str">
        <f>IF(ster!$A$1=1,names!B125,IF(ster!$A$1=2,names!C125))</f>
        <v>II kw.
2015</v>
      </c>
      <c r="B125" s="716" t="s">
        <v>186</v>
      </c>
      <c r="C125" s="716" t="s">
        <v>1040</v>
      </c>
      <c r="D125" s="716"/>
    </row>
    <row r="126" spans="1:4" ht="32.25">
      <c r="A126" s="715" t="str">
        <f>IF(ster!$A$1=1,names!B126,IF(ster!$A$1=2,names!C126))</f>
        <v>III kw.
2015</v>
      </c>
      <c r="B126" s="716" t="s">
        <v>187</v>
      </c>
      <c r="C126" s="716" t="s">
        <v>1041</v>
      </c>
      <c r="D126" s="716"/>
    </row>
    <row r="127" spans="1:4" ht="32.25">
      <c r="A127" s="715" t="str">
        <f>IF(ster!$A$1=1,names!B127,IF(ster!$A$1=2,names!C127))</f>
        <v>IV kw.
2015</v>
      </c>
      <c r="B127" s="716" t="s">
        <v>188</v>
      </c>
      <c r="C127" s="716" t="s">
        <v>1042</v>
      </c>
      <c r="D127" s="716"/>
    </row>
    <row r="128" spans="1:4" ht="32.25">
      <c r="A128" s="715" t="str">
        <f>IF(ster!$A$1=1,names!B128,IF(ster!$A$1=2,names!C128))</f>
        <v>12 m-cy
2015</v>
      </c>
      <c r="B128" s="716" t="s">
        <v>189</v>
      </c>
      <c r="C128" s="716" t="s">
        <v>851</v>
      </c>
      <c r="D128" s="716"/>
    </row>
    <row r="129" spans="1:4" ht="32.25">
      <c r="A129" s="715" t="str">
        <f>IF(ster!$A$1=1,names!B129,IF(ster!$A$1=2,names!C129))</f>
        <v>I kw.
2016</v>
      </c>
      <c r="B129" s="716" t="s">
        <v>274</v>
      </c>
      <c r="C129" s="716" t="s">
        <v>1043</v>
      </c>
      <c r="D129" s="716"/>
    </row>
    <row r="130" spans="1:4" ht="32.25">
      <c r="A130" s="715" t="str">
        <f>IF(ster!$A$1=1,names!B130,IF(ster!$A$1=2,names!C130))</f>
        <v>II kw.
2016</v>
      </c>
      <c r="B130" s="716" t="s">
        <v>275</v>
      </c>
      <c r="C130" s="716" t="s">
        <v>1044</v>
      </c>
      <c r="D130" s="716"/>
    </row>
    <row r="131" spans="1:4" ht="32.25">
      <c r="A131" s="715" t="str">
        <f>IF(ster!$A$1=1,names!B131,IF(ster!$A$1=2,names!C131))</f>
        <v>III kw.
2016</v>
      </c>
      <c r="B131" s="716" t="s">
        <v>276</v>
      </c>
      <c r="C131" s="716" t="s">
        <v>1045</v>
      </c>
      <c r="D131" s="716"/>
    </row>
    <row r="132" spans="1:4" ht="32.25">
      <c r="A132" s="715" t="str">
        <f>IF(ster!$A$1=1,names!B132,IF(ster!$A$1=2,names!C132))</f>
        <v>IV kw.
2016</v>
      </c>
      <c r="B132" s="716" t="s">
        <v>277</v>
      </c>
      <c r="C132" s="716" t="s">
        <v>1046</v>
      </c>
      <c r="D132" s="716"/>
    </row>
    <row r="133" spans="1:4" ht="32.25">
      <c r="A133" s="715" t="str">
        <f>IF(ster!$A$1=1,names!B133,IF(ster!$A$1=2,names!C133))</f>
        <v>12 m-cy
2016</v>
      </c>
      <c r="B133" s="716" t="s">
        <v>278</v>
      </c>
      <c r="C133" s="716" t="s">
        <v>852</v>
      </c>
      <c r="D133" s="716"/>
    </row>
    <row r="134" spans="1:4" ht="32.25">
      <c r="A134" s="715" t="str">
        <f>IF(ster!$A$1=1,names!B134,IF(ster!$A$1=2,names!C134))</f>
        <v>I kw.
2017</v>
      </c>
      <c r="B134" s="716" t="s">
        <v>301</v>
      </c>
      <c r="C134" s="716" t="s">
        <v>1047</v>
      </c>
      <c r="D134" s="716"/>
    </row>
    <row r="135" spans="1:4" ht="32.25">
      <c r="A135" s="715" t="str">
        <f>IF(ster!$A$1=1,names!B135,IF(ster!$A$1=2,names!C135))</f>
        <v>II kw.
2017</v>
      </c>
      <c r="B135" s="716" t="s">
        <v>302</v>
      </c>
      <c r="C135" s="716" t="s">
        <v>1048</v>
      </c>
      <c r="D135" s="716"/>
    </row>
    <row r="136" spans="1:4" ht="32.25">
      <c r="A136" s="715" t="str">
        <f>IF(ster!$A$1=1,names!B136,IF(ster!$A$1=2,names!C136))</f>
        <v>III kw.
2017</v>
      </c>
      <c r="B136" s="716" t="s">
        <v>303</v>
      </c>
      <c r="C136" s="716" t="s">
        <v>1049</v>
      </c>
      <c r="D136" s="716"/>
    </row>
    <row r="137" spans="1:4" ht="32.25">
      <c r="A137" s="715" t="str">
        <f>IF(ster!$A$1=1,names!B137,IF(ster!$A$1=2,names!C137))</f>
        <v>IV kw.
2017</v>
      </c>
      <c r="B137" s="716" t="s">
        <v>304</v>
      </c>
      <c r="C137" s="716" t="s">
        <v>1050</v>
      </c>
      <c r="D137" s="716"/>
    </row>
    <row r="138" spans="1:4" ht="32.25">
      <c r="A138" s="715" t="str">
        <f>IF(ster!$A$1=1,names!B138,IF(ster!$A$1=2,names!C138))</f>
        <v>12 m-cy
2017</v>
      </c>
      <c r="B138" s="716" t="s">
        <v>305</v>
      </c>
      <c r="C138" s="716" t="s">
        <v>853</v>
      </c>
      <c r="D138" s="716"/>
    </row>
    <row r="139" spans="1:4" ht="32.25">
      <c r="A139" s="715" t="str">
        <f>IF(ster!$A$1=1,names!B139,IF(ster!$A$1=2,names!C139))</f>
        <v>I kw.
2018</v>
      </c>
      <c r="B139" s="716" t="s">
        <v>326</v>
      </c>
      <c r="C139" s="716" t="s">
        <v>1051</v>
      </c>
      <c r="D139" s="716"/>
    </row>
    <row r="140" spans="1:4" ht="32.25">
      <c r="A140" s="715" t="str">
        <f>IF(ster!$A$1=1,names!B140,IF(ster!$A$1=2,names!C140))</f>
        <v>II kw.
2018</v>
      </c>
      <c r="B140" s="716" t="s">
        <v>327</v>
      </c>
      <c r="C140" s="716" t="s">
        <v>1052</v>
      </c>
      <c r="D140" s="716"/>
    </row>
    <row r="141" spans="1:4" ht="32.25">
      <c r="A141" s="715" t="str">
        <f>IF(ster!$A$1=1,names!B141,IF(ster!$A$1=2,names!C141))</f>
        <v>III kw.
2018</v>
      </c>
      <c r="B141" s="716" t="s">
        <v>328</v>
      </c>
      <c r="C141" s="716" t="s">
        <v>1053</v>
      </c>
      <c r="D141" s="716"/>
    </row>
    <row r="142" spans="1:4" ht="32.25">
      <c r="A142" s="715" t="str">
        <f>IF(ster!$A$1=1,names!B142,IF(ster!$A$1=2,names!C142))</f>
        <v>IV kw.
2018</v>
      </c>
      <c r="B142" s="716" t="s">
        <v>329</v>
      </c>
      <c r="C142" s="716" t="s">
        <v>1054</v>
      </c>
      <c r="D142" s="716"/>
    </row>
    <row r="143" spans="1:4" ht="32.25">
      <c r="A143" s="715" t="str">
        <f>IF(ster!$A$1=1,names!B143,IF(ster!$A$1=2,names!C143))</f>
        <v>12 m-cy
2018</v>
      </c>
      <c r="B143" s="716" t="s">
        <v>330</v>
      </c>
      <c r="C143" s="716" t="s">
        <v>854</v>
      </c>
      <c r="D143" s="716"/>
    </row>
    <row r="144" spans="1:4" ht="32.25">
      <c r="A144" s="715" t="str">
        <f>IF(ster!$A$1=1,names!B144,IF(ster!$A$1=2,names!C144))</f>
        <v>I kw. 
2019</v>
      </c>
      <c r="B144" s="716" t="s">
        <v>362</v>
      </c>
      <c r="C144" s="716" t="s">
        <v>1055</v>
      </c>
      <c r="D144" s="716"/>
    </row>
    <row r="145" spans="1:4" ht="32.25">
      <c r="A145" s="715" t="str">
        <f>IF(ster!$A$1=1,names!B145,IF(ster!$A$1=2,names!C145))</f>
        <v>II kw. 
2019</v>
      </c>
      <c r="B145" s="716" t="s">
        <v>381</v>
      </c>
      <c r="C145" s="716" t="s">
        <v>1014</v>
      </c>
      <c r="D145" s="716"/>
    </row>
    <row r="146" spans="1:4" ht="32.25">
      <c r="A146" s="715" t="str">
        <f>IF(ster!$A$1=1,names!B146,IF(ster!$A$1=2,names!C146))</f>
        <v>III kw. 
2019</v>
      </c>
      <c r="B146" s="716" t="s">
        <v>392</v>
      </c>
      <c r="C146" s="716" t="s">
        <v>1056</v>
      </c>
      <c r="D146" s="716"/>
    </row>
    <row r="147" spans="1:4" ht="32.25">
      <c r="A147" s="715" t="str">
        <f>IF(ster!$A$1=1,names!B147,IF(ster!$A$1=2,names!C147))</f>
        <v>IV kw. 
2019</v>
      </c>
      <c r="B147" s="716" t="s">
        <v>394</v>
      </c>
      <c r="C147" s="716" t="s">
        <v>1057</v>
      </c>
      <c r="D147" s="716"/>
    </row>
    <row r="148" spans="1:4" ht="32.25">
      <c r="A148" s="715" t="str">
        <f>IF(ster!$A$1=1,names!B148,IF(ster!$A$1=2,names!C148))</f>
        <v>12 m-cy 2019</v>
      </c>
      <c r="B148" s="716" t="s">
        <v>395</v>
      </c>
      <c r="C148" s="716" t="s">
        <v>855</v>
      </c>
      <c r="D148" s="716"/>
    </row>
    <row r="149" spans="1:4" ht="32.25">
      <c r="A149" s="715" t="str">
        <f>IF(ster!$A$1=1,names!B149,IF(ster!$A$1=2,names!C149))</f>
        <v>I kw. 
2020</v>
      </c>
      <c r="B149" s="716" t="s">
        <v>409</v>
      </c>
      <c r="C149" s="716" t="s">
        <v>1018</v>
      </c>
      <c r="D149" s="716"/>
    </row>
    <row r="150" spans="1:4" ht="32.25">
      <c r="A150" s="715" t="str">
        <f>IF(ster!$A$1=1,names!B150,IF(ster!$A$1=2,names!C150))</f>
        <v>II kw. 
2020</v>
      </c>
      <c r="B150" s="716" t="s">
        <v>410</v>
      </c>
      <c r="C150" s="716" t="s">
        <v>981</v>
      </c>
      <c r="D150" s="716"/>
    </row>
    <row r="151" spans="1:4" ht="32.25">
      <c r="A151" s="715" t="str">
        <f>IF(ster!$A$1=1,names!B151,IF(ster!$A$1=2,names!C151))</f>
        <v>III kw. 
2020</v>
      </c>
      <c r="B151" s="716" t="s">
        <v>411</v>
      </c>
      <c r="C151" s="716" t="s">
        <v>983</v>
      </c>
      <c r="D151" s="716"/>
    </row>
    <row r="152" spans="1:4" ht="32.25">
      <c r="A152" s="715" t="str">
        <f>IF(ster!$A$1=1,names!B152,IF(ster!$A$1=2,names!C152))</f>
        <v>IV kw. 
2020</v>
      </c>
      <c r="B152" s="716" t="s">
        <v>412</v>
      </c>
      <c r="C152" s="716" t="s">
        <v>985</v>
      </c>
      <c r="D152" s="716"/>
    </row>
    <row r="153" spans="1:4" ht="32.25">
      <c r="A153" s="715" t="str">
        <f>IF(ster!$A$1=1,names!B153,IF(ster!$A$1=2,names!C153))</f>
        <v>12 m-cy 2020</v>
      </c>
      <c r="B153" s="716" t="s">
        <v>413</v>
      </c>
      <c r="C153" s="716" t="s">
        <v>856</v>
      </c>
      <c r="D153" s="716"/>
    </row>
    <row r="154" spans="1:4" ht="32.25">
      <c r="A154" s="715" t="str">
        <f>IF(ster!$A$1=1,names!B154,IF(ster!$A$1=2,names!C154))</f>
        <v>I kw. 
2021</v>
      </c>
      <c r="B154" s="716" t="s">
        <v>497</v>
      </c>
      <c r="C154" s="716" t="s">
        <v>957</v>
      </c>
      <c r="D154" s="716"/>
    </row>
    <row r="155" spans="1:4" ht="32.25">
      <c r="A155" s="715" t="str">
        <f>IF(ster!$A$1=1,names!B155,IF(ster!$A$1=2,names!C155))</f>
        <v>II kw. 
2021</v>
      </c>
      <c r="B155" s="716" t="s">
        <v>498</v>
      </c>
      <c r="C155" s="716" t="s">
        <v>959</v>
      </c>
      <c r="D155" s="716"/>
    </row>
    <row r="156" spans="1:4" ht="32.25">
      <c r="A156" s="715" t="str">
        <f>IF(ster!$A$1=1,names!B156,IF(ster!$A$1=2,names!C156))</f>
        <v>III kw. 
2021</v>
      </c>
      <c r="B156" s="716" t="s">
        <v>499</v>
      </c>
      <c r="C156" s="716" t="s">
        <v>961</v>
      </c>
      <c r="D156" s="716"/>
    </row>
    <row r="157" spans="1:4" ht="32.25">
      <c r="A157" s="715" t="str">
        <f>IF(ster!$A$1=1,names!B157,IF(ster!$A$1=2,names!C157))</f>
        <v>IV kw. 
2021</v>
      </c>
      <c r="B157" s="716" t="s">
        <v>500</v>
      </c>
      <c r="C157" s="716" t="s">
        <v>963</v>
      </c>
      <c r="D157" s="716"/>
    </row>
    <row r="158" spans="1:4" ht="32.25">
      <c r="A158" s="715" t="str">
        <f>IF(ster!$A$1=1,names!B158,IF(ster!$A$1=2,names!C158))</f>
        <v>12 m-cy 2021</v>
      </c>
      <c r="B158" s="716" t="s">
        <v>501</v>
      </c>
      <c r="C158" s="716" t="s">
        <v>857</v>
      </c>
      <c r="D158" s="716"/>
    </row>
    <row r="159" spans="1:4" ht="32.25">
      <c r="A159" s="715" t="str">
        <f>IF(ster!$A$1=1,names!B159,IF(ster!$A$1=2,names!C159))</f>
        <v>I kw. 
2022</v>
      </c>
      <c r="B159" s="716" t="s">
        <v>513</v>
      </c>
      <c r="C159" s="716" t="s">
        <v>858</v>
      </c>
      <c r="D159" s="716"/>
    </row>
    <row r="160" spans="1:4" ht="32.25">
      <c r="A160" s="715" t="str">
        <f>IF(ster!$A$1=1,names!B160,IF(ster!$A$1=2,names!C160))</f>
        <v>II kw. 
2022</v>
      </c>
      <c r="B160" s="716" t="s">
        <v>528</v>
      </c>
      <c r="C160" s="716" t="s">
        <v>859</v>
      </c>
      <c r="D160" s="716"/>
    </row>
    <row r="161" spans="1:4" ht="32.25">
      <c r="A161" s="715" t="str">
        <f>IF(ster!$A$1=1,names!B161,IF(ster!$A$1=2,names!C161))</f>
        <v>III kw. 
2022</v>
      </c>
      <c r="B161" s="716" t="s">
        <v>529</v>
      </c>
      <c r="C161" s="716" t="s">
        <v>860</v>
      </c>
      <c r="D161" s="716"/>
    </row>
    <row r="162" spans="1:4" ht="32.25">
      <c r="A162" s="715" t="str">
        <f>IF(ster!$A$1=1,names!B162,IF(ster!$A$1=2,names!C162))</f>
        <v>IV kw. 
2022</v>
      </c>
      <c r="B162" s="716" t="s">
        <v>530</v>
      </c>
      <c r="C162" s="716" t="s">
        <v>861</v>
      </c>
      <c r="D162" s="716"/>
    </row>
    <row r="163" spans="1:4" ht="32.25">
      <c r="A163" s="715" t="str">
        <f>IF(ster!$A$1=1,names!B163,IF(ster!$A$1=2,names!C163))</f>
        <v>12 m-cy 2022</v>
      </c>
      <c r="B163" s="716" t="s">
        <v>531</v>
      </c>
      <c r="C163" s="716" t="s">
        <v>862</v>
      </c>
      <c r="D163" s="716"/>
    </row>
    <row r="164" spans="1:4" ht="32.25">
      <c r="A164" s="715" t="str">
        <f>IF(ster!$A$1=1,names!B164,IF(ster!$A$1=2,names!C164))</f>
        <v>I kw. 
2023</v>
      </c>
      <c r="B164" s="716" t="s">
        <v>661</v>
      </c>
      <c r="C164" s="716" t="s">
        <v>863</v>
      </c>
      <c r="D164" s="716"/>
    </row>
    <row r="165" spans="1:4" ht="32.25">
      <c r="A165" s="715" t="str">
        <f>IF(ster!$A$1=1,names!B165,IF(ster!$A$1=2,names!C165))</f>
        <v>II kw. 
2023</v>
      </c>
      <c r="B165" s="716" t="s">
        <v>662</v>
      </c>
      <c r="C165" s="716" t="s">
        <v>864</v>
      </c>
      <c r="D165" s="716"/>
    </row>
    <row r="166" spans="1:4" ht="32.25">
      <c r="A166" s="715" t="str">
        <f>IF(ster!$A$1=1,names!B166,IF(ster!$A$1=2,names!C166))</f>
        <v>III kw. 
2023</v>
      </c>
      <c r="B166" s="716" t="s">
        <v>663</v>
      </c>
      <c r="C166" s="716" t="s">
        <v>865</v>
      </c>
      <c r="D166" s="716"/>
    </row>
    <row r="167" spans="1:4" ht="32.25">
      <c r="A167" s="715" t="str">
        <f>IF(ster!$A$1=1,names!B167,IF(ster!$A$1=2,names!C167))</f>
        <v>IV kw. 
2023</v>
      </c>
      <c r="B167" s="716" t="s">
        <v>664</v>
      </c>
      <c r="C167" s="716" t="s">
        <v>866</v>
      </c>
      <c r="D167" s="716"/>
    </row>
    <row r="168" spans="1:4" ht="32.25">
      <c r="A168" s="715" t="str">
        <f>IF(ster!$A$1=1,names!B168,IF(ster!$A$1=2,names!C168))</f>
        <v>12 m-cy 2023</v>
      </c>
      <c r="B168" s="716" t="s">
        <v>665</v>
      </c>
      <c r="C168" s="716" t="s">
        <v>867</v>
      </c>
      <c r="D168" s="716"/>
    </row>
    <row r="169" spans="1:4" ht="32.25">
      <c r="A169" s="715" t="str">
        <f>IF(ster!$A$1=1,names!B169,IF(ster!$A$1=2,names!C169))</f>
        <v>I kw. 
2024</v>
      </c>
      <c r="B169" s="716" t="s">
        <v>751</v>
      </c>
      <c r="C169" s="716" t="s">
        <v>868</v>
      </c>
      <c r="D169" s="716"/>
    </row>
    <row r="170" spans="1:4" ht="32.25">
      <c r="A170" s="715" t="str">
        <f>IF(ster!$A$1=1,names!B170,IF(ster!$A$1=2,names!C170))</f>
        <v>II kw. 
2024</v>
      </c>
      <c r="B170" s="716" t="s">
        <v>752</v>
      </c>
      <c r="C170" s="716" t="s">
        <v>869</v>
      </c>
      <c r="D170" s="716"/>
    </row>
    <row r="171" spans="1:4" ht="32.25">
      <c r="A171" s="715" t="str">
        <f>IF(ster!$A$1=1,names!B171,IF(ster!$A$1=2,names!C171))</f>
        <v>III kw. 
2024</v>
      </c>
      <c r="B171" s="716" t="s">
        <v>753</v>
      </c>
      <c r="C171" s="716" t="s">
        <v>870</v>
      </c>
      <c r="D171" s="716"/>
    </row>
    <row r="172" spans="1:4" ht="32.25">
      <c r="A172" s="715" t="str">
        <f>IF(ster!$A$1=1,names!B172,IF(ster!$A$1=2,names!C172))</f>
        <v>IV kw. 
2024</v>
      </c>
      <c r="B172" s="716" t="s">
        <v>754</v>
      </c>
      <c r="C172" s="716" t="s">
        <v>871</v>
      </c>
      <c r="D172" s="716"/>
    </row>
    <row r="173" spans="1:4" ht="32.25">
      <c r="A173" s="715" t="str">
        <f>IF(ster!$A$1=1,names!B173,IF(ster!$A$1=2,names!C173))</f>
        <v>12 m-cy 2024</v>
      </c>
      <c r="B173" s="716" t="s">
        <v>755</v>
      </c>
      <c r="C173" s="716" t="s">
        <v>872</v>
      </c>
      <c r="D173" s="716"/>
    </row>
    <row r="174" spans="1:4" ht="32.25">
      <c r="A174" s="715" t="str">
        <f>IF(ster!$A$1=1,names!B174,IF(ster!$A$1=2,names!C174))</f>
        <v>I kw. 
2025</v>
      </c>
      <c r="B174" s="716" t="s">
        <v>1652</v>
      </c>
      <c r="C174" s="716" t="s">
        <v>1653</v>
      </c>
      <c r="D174" s="716"/>
    </row>
    <row r="175" spans="1:4" ht="32.25">
      <c r="A175" s="715" t="str">
        <f>IF(ster!$A$1=1,names!B175,IF(ster!$A$1=2,names!C175))</f>
        <v>II kw. 
2025</v>
      </c>
      <c r="B175" s="716" t="s">
        <v>1654</v>
      </c>
      <c r="C175" s="716" t="s">
        <v>1655</v>
      </c>
      <c r="D175" s="716"/>
    </row>
    <row r="176" spans="1:4" ht="32.25">
      <c r="A176" s="715" t="str">
        <f>IF(ster!$A$1=1,names!B176,IF(ster!$A$1=2,names!C176))</f>
        <v>III kw. 
2025</v>
      </c>
      <c r="B176" s="716" t="s">
        <v>1656</v>
      </c>
      <c r="C176" s="716" t="s">
        <v>1657</v>
      </c>
      <c r="D176" s="716"/>
    </row>
    <row r="177" spans="1:4" ht="32.25">
      <c r="A177" s="715" t="str">
        <f>IF(ster!$A$1=1,names!B177,IF(ster!$A$1=2,names!C177))</f>
        <v>IV kw. 
2025</v>
      </c>
      <c r="B177" s="716" t="s">
        <v>1658</v>
      </c>
      <c r="C177" s="716" t="s">
        <v>1659</v>
      </c>
      <c r="D177" s="716"/>
    </row>
    <row r="178" spans="1:4" ht="32.25">
      <c r="A178" s="715" t="str">
        <f>IF(ster!$A$1=1,names!B178,IF(ster!$A$1=2,names!C178))</f>
        <v>12 m-cy 2025</v>
      </c>
      <c r="B178" s="716" t="s">
        <v>1660</v>
      </c>
      <c r="C178" s="716" t="s">
        <v>1661</v>
      </c>
      <c r="D178" s="716"/>
    </row>
    <row r="179" spans="1:4">
      <c r="A179" s="715">
        <f>IF(ster!$A$1=1,names!B179,IF(ster!$A$1=2,names!C179))</f>
        <v>0</v>
      </c>
      <c r="B179" s="716"/>
      <c r="C179" s="716"/>
      <c r="D179" s="716"/>
    </row>
    <row r="180" spans="1:4">
      <c r="A180" s="715" t="str">
        <f>IF(ster!$A$1=1,names!B180,IF(ster!$A$1=2,names!C180))</f>
        <v>Kursy walutowe</v>
      </c>
      <c r="B180" s="717" t="s">
        <v>263</v>
      </c>
      <c r="C180" s="716" t="s">
        <v>790</v>
      </c>
      <c r="D180" s="716"/>
    </row>
    <row r="181" spans="1:4">
      <c r="A181" s="715">
        <f>IF(ster!$A$1=1,names!B181,IF(ster!$A$1=2,names!C181))</f>
        <v>0</v>
      </c>
      <c r="B181" s="716"/>
      <c r="C181" s="716"/>
      <c r="D181" s="716"/>
    </row>
    <row r="182" spans="1:4">
      <c r="A182" s="715" t="str">
        <f>IF(ster!$A$1=1,names!B182,IF(ster!$A$1=2,names!C182))</f>
        <v>Waluta</v>
      </c>
      <c r="B182" s="716" t="s">
        <v>7</v>
      </c>
      <c r="C182" s="716" t="s">
        <v>873</v>
      </c>
      <c r="D182" s="716"/>
    </row>
    <row r="183" spans="1:4">
      <c r="A183" s="715">
        <f>IF(ster!$A$1=1,names!B183,IF(ster!$A$1=2,names!C183))</f>
        <v>0</v>
      </c>
      <c r="B183" s="716"/>
      <c r="C183" s="716"/>
      <c r="D183" s="716"/>
    </row>
    <row r="184" spans="1:4">
      <c r="A184" s="715">
        <f>IF(ster!$A$1=1,names!B184,IF(ster!$A$1=2,names!C184))</f>
        <v>0</v>
      </c>
      <c r="B184" s="716"/>
      <c r="C184" s="716"/>
      <c r="D184" s="716"/>
    </row>
    <row r="185" spans="1:4">
      <c r="A185" s="715" t="str">
        <f>IF(ster!$A$1=1,names!B185,IF(ster!$A$1=2,names!C185))</f>
        <v>USD/PLN</v>
      </c>
      <c r="B185" s="716" t="s">
        <v>133</v>
      </c>
      <c r="C185" s="716" t="s">
        <v>133</v>
      </c>
      <c r="D185" s="716"/>
    </row>
    <row r="186" spans="1:4">
      <c r="A186" s="715" t="str">
        <f>IF(ster!$A$1=1,names!B186,IF(ster!$A$1=2,names!C186))</f>
        <v>EUR/PLN</v>
      </c>
      <c r="B186" s="716" t="s">
        <v>134</v>
      </c>
      <c r="C186" s="716" t="s">
        <v>134</v>
      </c>
      <c r="D186" s="716"/>
    </row>
    <row r="187" spans="1:4">
      <c r="A187" s="715" t="str">
        <f>IF(ster!$A$1=1,names!B187,IF(ster!$A$1=2,names!C187))</f>
        <v>CZK/PLN</v>
      </c>
      <c r="B187" s="716" t="s">
        <v>135</v>
      </c>
      <c r="C187" s="716" t="s">
        <v>135</v>
      </c>
      <c r="D187" s="716"/>
    </row>
    <row r="188" spans="1:4">
      <c r="A188" s="715" t="str">
        <f>IF(ster!$A$1=1,names!B188,IF(ster!$A$1=2,names!C188))</f>
        <v>CAD/PLN</v>
      </c>
      <c r="B188" s="716" t="s">
        <v>151</v>
      </c>
      <c r="C188" s="716" t="s">
        <v>151</v>
      </c>
      <c r="D188" s="716"/>
    </row>
    <row r="189" spans="1:4">
      <c r="A189" s="715" t="str">
        <f>IF(ster!$A$1=1,names!B189,IF(ster!$A$1=2,names!C189))</f>
        <v>CAD/USD</v>
      </c>
      <c r="B189" s="716" t="s">
        <v>152</v>
      </c>
      <c r="C189" s="716" t="s">
        <v>152</v>
      </c>
      <c r="D189" s="716"/>
    </row>
    <row r="190" spans="1:4">
      <c r="A190" s="715" t="str">
        <f>IF(ster!$A$1=1,names!B190,IF(ster!$A$1=2,names!C190))</f>
        <v>EUR/USD</v>
      </c>
      <c r="B190" s="716" t="s">
        <v>774</v>
      </c>
      <c r="C190" s="716" t="s">
        <v>774</v>
      </c>
      <c r="D190" s="716"/>
    </row>
    <row r="191" spans="1:4">
      <c r="A191" s="715" t="str">
        <f>IF(ster!$A$1=1,names!B191,IF(ster!$A$1=2,names!C191))</f>
        <v>USD/LTL</v>
      </c>
      <c r="B191" s="716" t="s">
        <v>136</v>
      </c>
      <c r="C191" s="716" t="s">
        <v>136</v>
      </c>
      <c r="D191" s="716"/>
    </row>
    <row r="192" spans="1:4">
      <c r="A192" s="715" t="str">
        <f>IF(ster!$A$1=1,names!B192,IF(ster!$A$1=2,names!C192))</f>
        <v>EUR/LTL</v>
      </c>
      <c r="B192" s="716" t="s">
        <v>137</v>
      </c>
      <c r="C192" s="716" t="s">
        <v>137</v>
      </c>
      <c r="D192" s="716"/>
    </row>
    <row r="193" spans="1:4">
      <c r="A193" s="715" t="str">
        <f>IF(ster!$A$1=1,names!B193,IF(ster!$A$1=2,names!C193))</f>
        <v>USD/CZK</v>
      </c>
      <c r="B193" s="716" t="s">
        <v>138</v>
      </c>
      <c r="C193" s="716" t="s">
        <v>138</v>
      </c>
      <c r="D193" s="716"/>
    </row>
    <row r="194" spans="1:4">
      <c r="A194" s="715" t="str">
        <f>IF(ster!$A$1=1,names!B194,IF(ster!$A$1=2,names!C194))</f>
        <v>EUR/CZK</v>
      </c>
      <c r="B194" s="716" t="s">
        <v>139</v>
      </c>
      <c r="C194" s="716" t="s">
        <v>139</v>
      </c>
      <c r="D194" s="716"/>
    </row>
    <row r="195" spans="1:4" ht="48">
      <c r="A195" s="715" t="str">
        <f>IF(ster!$A$1=1,names!B195,IF(ster!$A$1=2,names!C195))</f>
        <v>1) Na podstawie kursów ustalanych przez Narodowy Bank Polski (NBP), Czeski Bank Narodowy, Bank Litwy (w latach 2013-2014) i Europejski Bank Centralny</v>
      </c>
      <c r="B195" s="716" t="s">
        <v>775</v>
      </c>
      <c r="C195" s="716" t="s">
        <v>874</v>
      </c>
      <c r="D195" s="716"/>
    </row>
    <row r="196" spans="1:4">
      <c r="A196" s="715" t="str">
        <f>IF(ster!$A$1=1,names!B196,IF(ster!$A$1=2,names!C196))</f>
        <v>Kurs średni 1)</v>
      </c>
      <c r="B196" s="716" t="s">
        <v>877</v>
      </c>
      <c r="C196" s="716" t="s">
        <v>879</v>
      </c>
      <c r="D196" s="716"/>
    </row>
    <row r="197" spans="1:4">
      <c r="A197" s="715" t="str">
        <f>IF(ster!$A$1=1,names!B197,IF(ster!$A$1=2,names!C197))</f>
        <v>Kurs na koniec 1)</v>
      </c>
      <c r="B197" s="716" t="s">
        <v>878</v>
      </c>
      <c r="C197" s="716" t="s">
        <v>880</v>
      </c>
      <c r="D197" s="716"/>
    </row>
    <row r="198" spans="1:4">
      <c r="A198" s="715" t="str">
        <f>IF(ster!$A$1=1,names!B198,IF(ster!$A$1=2,names!C198))</f>
        <v>IV kw. 2013</v>
      </c>
      <c r="B198" s="716" t="s">
        <v>102</v>
      </c>
      <c r="C198" s="716" t="s">
        <v>891</v>
      </c>
      <c r="D198" s="716"/>
    </row>
    <row r="199" spans="1:4">
      <c r="A199" s="715" t="str">
        <f>IF(ster!$A$1=1,names!B199,IF(ster!$A$1=2,names!C199))</f>
        <v>IV kw. 2014</v>
      </c>
      <c r="B199" s="716" t="s">
        <v>143</v>
      </c>
      <c r="C199" s="716" t="s">
        <v>892</v>
      </c>
      <c r="D199" s="716"/>
    </row>
    <row r="200" spans="1:4">
      <c r="A200" s="715" t="str">
        <f>IF(ster!$A$1=1,names!B200,IF(ster!$A$1=2,names!C200))</f>
        <v>IV kw. 2015</v>
      </c>
      <c r="B200" s="716" t="s">
        <v>169</v>
      </c>
      <c r="C200" s="716" t="s">
        <v>893</v>
      </c>
      <c r="D200" s="716"/>
    </row>
    <row r="201" spans="1:4">
      <c r="A201" s="715" t="str">
        <f>IF(ster!$A$1=1,names!B201,IF(ster!$A$1=2,names!C201))</f>
        <v>IV kw. 2016</v>
      </c>
      <c r="B201" s="716" t="s">
        <v>279</v>
      </c>
      <c r="C201" s="716" t="s">
        <v>894</v>
      </c>
      <c r="D201" s="716"/>
    </row>
    <row r="202" spans="1:4">
      <c r="A202" s="715" t="str">
        <f>IF(ster!$A$1=1,names!B202,IF(ster!$A$1=2,names!C202))</f>
        <v>IV kw. 2017</v>
      </c>
      <c r="B202" s="716" t="s">
        <v>306</v>
      </c>
      <c r="C202" s="716" t="s">
        <v>895</v>
      </c>
      <c r="D202" s="716"/>
    </row>
    <row r="203" spans="1:4">
      <c r="A203" s="715" t="str">
        <f>IF(ster!$A$1=1,names!B203,IF(ster!$A$1=2,names!C203))</f>
        <v>IV kw. 2018</v>
      </c>
      <c r="B203" s="716" t="s">
        <v>331</v>
      </c>
      <c r="C203" s="716" t="s">
        <v>896</v>
      </c>
      <c r="D203" s="716"/>
    </row>
    <row r="204" spans="1:4" ht="32.25">
      <c r="A204" s="715" t="str">
        <f>IF(ster!$A$1=1,names!B204,IF(ster!$A$1=2,names!C204))</f>
        <v>IV kw. 
2019</v>
      </c>
      <c r="B204" s="716" t="s">
        <v>394</v>
      </c>
      <c r="C204" s="716" t="s">
        <v>897</v>
      </c>
      <c r="D204" s="716"/>
    </row>
    <row r="205" spans="1:4" ht="32.25">
      <c r="A205" s="715" t="str">
        <f>IF(ster!$A$1=1,names!B205,IF(ster!$A$1=2,names!C205))</f>
        <v>IV kw. 
2020</v>
      </c>
      <c r="B205" s="716" t="s">
        <v>412</v>
      </c>
      <c r="C205" s="716" t="s">
        <v>898</v>
      </c>
      <c r="D205" s="716"/>
    </row>
    <row r="206" spans="1:4" ht="32.25">
      <c r="A206" s="715" t="str">
        <f>IF(ster!$A$1=1,names!B206,IF(ster!$A$1=2,names!C206))</f>
        <v>IV kw. 
2021</v>
      </c>
      <c r="B206" s="716" t="s">
        <v>500</v>
      </c>
      <c r="C206" s="716" t="s">
        <v>899</v>
      </c>
      <c r="D206" s="716"/>
    </row>
    <row r="207" spans="1:4">
      <c r="A207" s="715">
        <f>IF(ster!$A$1=1,names!B207,IF(ster!$A$1=2,names!C207))</f>
        <v>0</v>
      </c>
      <c r="B207" s="716"/>
      <c r="C207" s="716"/>
      <c r="D207" s="716"/>
    </row>
    <row r="208" spans="1:4">
      <c r="A208" s="715" t="str">
        <f>IF(ster!$A$1=1,names!B208,IF(ster!$A$1=2,names!C208))</f>
        <v>Konsumpcja paliw 1)</v>
      </c>
      <c r="B208" s="717" t="s">
        <v>881</v>
      </c>
      <c r="C208" s="716" t="s">
        <v>882</v>
      </c>
      <c r="D208" s="716"/>
    </row>
    <row r="209" spans="1:4">
      <c r="A209" s="715">
        <f>IF(ster!$A$1=1,names!B209,IF(ster!$A$1=2,names!C209))</f>
        <v>0</v>
      </c>
      <c r="B209" s="716"/>
      <c r="C209" s="716"/>
      <c r="D209" s="716"/>
    </row>
    <row r="210" spans="1:4" ht="32.25">
      <c r="A210" s="715" t="str">
        <f>IF(ster!$A$1=1,names!B210,IF(ster!$A$1=2,names!C210))</f>
        <v>Kraje, 
tys. ton</v>
      </c>
      <c r="B210" s="716" t="s">
        <v>118</v>
      </c>
      <c r="C210" s="716" t="s">
        <v>883</v>
      </c>
      <c r="D210" s="716"/>
    </row>
    <row r="211" spans="1:4">
      <c r="A211" s="715">
        <f>IF(ster!$A$1=1,names!B211,IF(ster!$A$1=2,names!C211))</f>
        <v>0</v>
      </c>
      <c r="B211" s="716"/>
      <c r="C211" s="716"/>
      <c r="D211" s="716"/>
    </row>
    <row r="212" spans="1:4">
      <c r="A212" s="715" t="str">
        <f>IF(ster!$A$1=1,names!B212,IF(ster!$A$1=2,names!C212))</f>
        <v>Polska</v>
      </c>
      <c r="B212" s="716" t="s">
        <v>10</v>
      </c>
      <c r="C212" s="716" t="s">
        <v>884</v>
      </c>
      <c r="D212" s="716"/>
    </row>
    <row r="213" spans="1:4">
      <c r="A213" s="715" t="str">
        <f>IF(ster!$A$1=1,names!B213,IF(ster!$A$1=2,names!C213))</f>
        <v>Benzyny</v>
      </c>
      <c r="B213" s="716" t="s">
        <v>11</v>
      </c>
      <c r="C213" s="716" t="s">
        <v>832</v>
      </c>
      <c r="D213" s="716"/>
    </row>
    <row r="214" spans="1:4">
      <c r="A214" s="715" t="str">
        <f>IF(ster!$A$1=1,names!B214,IF(ster!$A$1=2,names!C214))</f>
        <v>ON</v>
      </c>
      <c r="B214" s="716" t="s">
        <v>12</v>
      </c>
      <c r="C214" s="716" t="s">
        <v>833</v>
      </c>
      <c r="D214" s="716"/>
    </row>
    <row r="215" spans="1:4">
      <c r="A215" s="715" t="str">
        <f>IF(ster!$A$1=1,names!B215,IF(ster!$A$1=2,names!C215))</f>
        <v>Litwa</v>
      </c>
      <c r="B215" s="716" t="s">
        <v>13</v>
      </c>
      <c r="C215" s="716" t="s">
        <v>885</v>
      </c>
      <c r="D215" s="716"/>
    </row>
    <row r="216" spans="1:4">
      <c r="A216" s="715" t="str">
        <f>IF(ster!$A$1=1,names!B216,IF(ster!$A$1=2,names!C216))</f>
        <v>Benzyny</v>
      </c>
      <c r="B216" s="716" t="s">
        <v>11</v>
      </c>
      <c r="C216" s="716" t="s">
        <v>832</v>
      </c>
      <c r="D216" s="716"/>
    </row>
    <row r="217" spans="1:4">
      <c r="A217" s="715" t="str">
        <f>IF(ster!$A$1=1,names!B217,IF(ster!$A$1=2,names!C217))</f>
        <v>ON</v>
      </c>
      <c r="B217" s="716" t="s">
        <v>12</v>
      </c>
      <c r="C217" s="716" t="s">
        <v>833</v>
      </c>
      <c r="D217" s="716"/>
    </row>
    <row r="218" spans="1:4">
      <c r="A218" s="715" t="str">
        <f>IF(ster!$A$1=1,names!B218,IF(ster!$A$1=2,names!C218))</f>
        <v>Czechy</v>
      </c>
      <c r="B218" s="716" t="s">
        <v>14</v>
      </c>
      <c r="C218" s="716" t="s">
        <v>886</v>
      </c>
      <c r="D218" s="716"/>
    </row>
    <row r="219" spans="1:4">
      <c r="A219" s="715" t="str">
        <f>IF(ster!$A$1=1,names!B219,IF(ster!$A$1=2,names!C219))</f>
        <v>Benzyny</v>
      </c>
      <c r="B219" s="716" t="s">
        <v>11</v>
      </c>
      <c r="C219" s="716" t="s">
        <v>832</v>
      </c>
      <c r="D219" s="716"/>
    </row>
    <row r="220" spans="1:4">
      <c r="A220" s="715" t="str">
        <f>IF(ster!$A$1=1,names!B220,IF(ster!$A$1=2,names!C220))</f>
        <v>ON</v>
      </c>
      <c r="B220" s="716" t="s">
        <v>12</v>
      </c>
      <c r="C220" s="716" t="s">
        <v>833</v>
      </c>
      <c r="D220" s="716"/>
    </row>
    <row r="221" spans="1:4">
      <c r="A221" s="715" t="str">
        <f>IF(ster!$A$1=1,names!B221,IF(ster!$A$1=2,names!C221))</f>
        <v>Niemcy</v>
      </c>
      <c r="B221" s="716" t="s">
        <v>15</v>
      </c>
      <c r="C221" s="716" t="s">
        <v>887</v>
      </c>
      <c r="D221" s="716"/>
    </row>
    <row r="222" spans="1:4">
      <c r="A222" s="715" t="str">
        <f>IF(ster!$A$1=1,names!B222,IF(ster!$A$1=2,names!C222))</f>
        <v>Benzyny</v>
      </c>
      <c r="B222" s="716" t="s">
        <v>11</v>
      </c>
      <c r="C222" s="716" t="s">
        <v>832</v>
      </c>
      <c r="D222" s="716"/>
    </row>
    <row r="223" spans="1:4">
      <c r="A223" s="715" t="str">
        <f>IF(ster!$A$1=1,names!B223,IF(ster!$A$1=2,names!C223))</f>
        <v>ON</v>
      </c>
      <c r="B223" s="716" t="s">
        <v>12</v>
      </c>
      <c r="C223" s="716" t="s">
        <v>833</v>
      </c>
      <c r="D223" s="716"/>
    </row>
    <row r="224" spans="1:4">
      <c r="A224" s="715" t="str">
        <f>IF(ster!$A$1=1,names!B224,IF(ster!$A$1=2,names!C224))</f>
        <v>Słowacja</v>
      </c>
      <c r="B224" s="716" t="s">
        <v>685</v>
      </c>
      <c r="C224" s="716" t="s">
        <v>888</v>
      </c>
      <c r="D224" s="716"/>
    </row>
    <row r="225" spans="1:4">
      <c r="A225" s="715" t="str">
        <f>IF(ster!$A$1=1,names!B225,IF(ster!$A$1=2,names!C225))</f>
        <v>Benzyny</v>
      </c>
      <c r="B225" s="716" t="s">
        <v>11</v>
      </c>
      <c r="C225" s="716" t="s">
        <v>832</v>
      </c>
      <c r="D225" s="716"/>
    </row>
    <row r="226" spans="1:4">
      <c r="A226" s="715" t="str">
        <f>IF(ster!$A$1=1,names!B226,IF(ster!$A$1=2,names!C226))</f>
        <v>ON</v>
      </c>
      <c r="B226" s="716" t="s">
        <v>12</v>
      </c>
      <c r="C226" s="716" t="s">
        <v>833</v>
      </c>
      <c r="D226" s="716"/>
    </row>
    <row r="227" spans="1:4">
      <c r="A227" s="715" t="str">
        <f>IF(ster!$A$1=1,names!B227,IF(ster!$A$1=2,names!C227))</f>
        <v>Węgry</v>
      </c>
      <c r="B227" s="716" t="s">
        <v>686</v>
      </c>
      <c r="C227" s="716" t="s">
        <v>889</v>
      </c>
      <c r="D227" s="716"/>
    </row>
    <row r="228" spans="1:4">
      <c r="A228" s="715" t="str">
        <f>IF(ster!$A$1=1,names!B228,IF(ster!$A$1=2,names!C228))</f>
        <v>Benzyny</v>
      </c>
      <c r="B228" s="716" t="s">
        <v>11</v>
      </c>
      <c r="C228" s="716" t="s">
        <v>832</v>
      </c>
      <c r="D228" s="716"/>
    </row>
    <row r="229" spans="1:4">
      <c r="A229" s="715" t="str">
        <f>IF(ster!$A$1=1,names!B229,IF(ster!$A$1=2,names!C229))</f>
        <v>ON</v>
      </c>
      <c r="B229" s="716" t="s">
        <v>12</v>
      </c>
      <c r="C229" s="716" t="s">
        <v>833</v>
      </c>
      <c r="D229" s="716"/>
    </row>
    <row r="230" spans="1:4">
      <c r="A230" s="715" t="str">
        <f>IF(ster!$A$1=1,names!B230,IF(ster!$A$1=2,names!C230))</f>
        <v>Austria</v>
      </c>
      <c r="B230" s="716" t="s">
        <v>777</v>
      </c>
      <c r="C230" s="716" t="s">
        <v>777</v>
      </c>
      <c r="D230" s="716"/>
    </row>
    <row r="231" spans="1:4">
      <c r="A231" s="715" t="str">
        <f>IF(ster!$A$1=1,names!B231,IF(ster!$A$1=2,names!C231))</f>
        <v>Benzyny</v>
      </c>
      <c r="B231" s="716" t="s">
        <v>11</v>
      </c>
      <c r="C231" s="716" t="s">
        <v>832</v>
      </c>
      <c r="D231" s="716"/>
    </row>
    <row r="232" spans="1:4">
      <c r="A232" s="715" t="str">
        <f>IF(ster!$A$1=1,names!B232,IF(ster!$A$1=2,names!C232))</f>
        <v>ON</v>
      </c>
      <c r="B232" s="716" t="s">
        <v>12</v>
      </c>
      <c r="C232" s="716" t="s">
        <v>833</v>
      </c>
      <c r="D232" s="716"/>
    </row>
    <row r="233" spans="1:4" ht="63.75">
      <c r="A233" s="715" t="str">
        <f>IF(ster!$A$1=1,names!B233,IF(ster!$A$1=2,names!C233))</f>
        <v xml:space="preserve">1) Szacunki własne opracowane na bazie dostępnych danych Agencji Rynku Energii S.A., Litewskiego Urzędu Statystycznego, Czeskiego Urzędu Statystycznego i Niemieckiego Stowarzyszenia Przemysłu Naftowego oraz danych Eurostat. </v>
      </c>
      <c r="B233" s="716" t="s">
        <v>743</v>
      </c>
      <c r="C233" s="716" t="s">
        <v>890</v>
      </c>
      <c r="D233" s="716"/>
    </row>
    <row r="234" spans="1:4">
      <c r="A234" s="715">
        <f>IF(ster!$A$1=1,names!B234,IF(ster!$A$1=2,names!C234))</f>
        <v>0</v>
      </c>
      <c r="B234" s="716"/>
      <c r="C234" s="716"/>
      <c r="D234" s="716"/>
    </row>
    <row r="235" spans="1:4">
      <c r="A235" s="715">
        <f>IF(ster!$A$1=1,names!B235,IF(ster!$A$1=2,names!C235))</f>
        <v>0</v>
      </c>
      <c r="B235" s="716"/>
      <c r="C235" s="716"/>
      <c r="D235" s="716"/>
    </row>
    <row r="236" spans="1:4">
      <c r="A236" s="715" t="str">
        <f>IF(ster!$A$1=1,names!B236,IF(ster!$A$1=2,names!C236))</f>
        <v>Konsumpcja paliw 1)</v>
      </c>
      <c r="B236" s="717" t="s">
        <v>881</v>
      </c>
      <c r="C236" s="716" t="s">
        <v>882</v>
      </c>
      <c r="D236" s="716"/>
    </row>
    <row r="237" spans="1:4" ht="32.25">
      <c r="A237" s="715" t="str">
        <f>IF(ster!$A$1=1,names!B237,IF(ster!$A$1=2,names!C237))</f>
        <v>Kraje, 
tys. ton</v>
      </c>
      <c r="B237" s="716" t="s">
        <v>118</v>
      </c>
      <c r="C237" s="716" t="s">
        <v>901</v>
      </c>
      <c r="D237" s="716"/>
    </row>
    <row r="238" spans="1:4">
      <c r="A238" s="715" t="str">
        <f>IF(ster!$A$1=1,names!B238,IF(ster!$A$1=2,names!C238))</f>
        <v>Benzyny</v>
      </c>
      <c r="B238" s="716" t="s">
        <v>11</v>
      </c>
      <c r="C238" s="716" t="s">
        <v>832</v>
      </c>
      <c r="D238" s="716"/>
    </row>
    <row r="239" spans="1:4">
      <c r="A239" s="715" t="str">
        <f>IF(ster!$A$1=1,names!B239,IF(ster!$A$1=2,names!C239))</f>
        <v>ON</v>
      </c>
      <c r="B239" s="716" t="s">
        <v>12</v>
      </c>
      <c r="C239" s="716" t="s">
        <v>833</v>
      </c>
      <c r="D239" s="716"/>
    </row>
    <row r="240" spans="1:4">
      <c r="A240" s="715" t="str">
        <f>IF(ster!$A$1=1,names!B240,IF(ster!$A$1=2,names!C240))</f>
        <v>Polska</v>
      </c>
      <c r="B240" s="716" t="s">
        <v>10</v>
      </c>
      <c r="C240" s="716" t="s">
        <v>884</v>
      </c>
      <c r="D240" s="716"/>
    </row>
    <row r="241" spans="1:6">
      <c r="A241" s="715" t="str">
        <f>IF(ster!$A$1=1,names!B241,IF(ster!$A$1=2,names!C241))</f>
        <v>Litwa</v>
      </c>
      <c r="B241" s="716" t="s">
        <v>13</v>
      </c>
      <c r="C241" s="716" t="s">
        <v>885</v>
      </c>
      <c r="D241" s="716"/>
    </row>
    <row r="242" spans="1:6">
      <c r="A242" s="715" t="str">
        <f>IF(ster!$A$1=1,names!B242,IF(ster!$A$1=2,names!C242))</f>
        <v>Czechy</v>
      </c>
      <c r="B242" s="716" t="s">
        <v>14</v>
      </c>
      <c r="C242" s="716" t="s">
        <v>886</v>
      </c>
      <c r="D242" s="716"/>
    </row>
    <row r="243" spans="1:6">
      <c r="A243" s="715" t="str">
        <f>IF(ster!$A$1=1,names!B243,IF(ster!$A$1=2,names!C243))</f>
        <v>Niemcy</v>
      </c>
      <c r="B243" s="716" t="s">
        <v>15</v>
      </c>
      <c r="C243" s="716" t="s">
        <v>887</v>
      </c>
      <c r="D243" s="716"/>
    </row>
    <row r="244" spans="1:6" ht="29.25" customHeight="1">
      <c r="A244" s="715" t="str">
        <f>IF(ster!$A$1=1,names!B244,IF(ster!$A$1=2,names!C244))</f>
        <v>Słowacja</v>
      </c>
      <c r="B244" s="716" t="s">
        <v>685</v>
      </c>
      <c r="C244" s="716" t="s">
        <v>888</v>
      </c>
      <c r="D244" s="716"/>
      <c r="E244" s="710"/>
      <c r="F244" s="710"/>
    </row>
    <row r="245" spans="1:6">
      <c r="A245" s="715" t="str">
        <f>IF(ster!$A$1=1,names!B245,IF(ster!$A$1=2,names!C245))</f>
        <v>Węgry</v>
      </c>
      <c r="B245" s="716" t="s">
        <v>686</v>
      </c>
      <c r="C245" s="716" t="s">
        <v>889</v>
      </c>
      <c r="D245" s="716"/>
    </row>
    <row r="246" spans="1:6">
      <c r="A246" s="715" t="str">
        <f>IF(ster!$A$1=1,names!B246,IF(ster!$A$1=2,names!C246))</f>
        <v>Austria</v>
      </c>
      <c r="B246" s="716" t="s">
        <v>777</v>
      </c>
      <c r="C246" s="716" t="s">
        <v>777</v>
      </c>
      <c r="D246" s="716"/>
    </row>
    <row r="247" spans="1:6" ht="63.75">
      <c r="A247" s="715" t="str">
        <f>IF(ster!$A$1=1,names!B247,IF(ster!$A$1=2,names!C247))</f>
        <v xml:space="preserve">1) Szacunki własne opracowane na bazie dostępnych danych Agencji Rynku Energii S.A., Litewskiego Urzędu Statystycznego, Czeskiego Urzędu Statystycznego i Niemieckiego Stowarzyszenia Przemysłu Naftowego oraz danych Eurostat. </v>
      </c>
      <c r="B247" s="716" t="s">
        <v>743</v>
      </c>
      <c r="C247" s="716" t="s">
        <v>890</v>
      </c>
      <c r="D247" s="716"/>
    </row>
    <row r="248" spans="1:6">
      <c r="A248" s="715">
        <f>IF(ster!$A$1=1,names!B248,IF(ster!$A$1=2,names!C248))</f>
        <v>0</v>
      </c>
      <c r="B248" s="716"/>
      <c r="C248" s="716"/>
      <c r="D248" s="716"/>
    </row>
    <row r="249" spans="1:6">
      <c r="A249" s="715" t="str">
        <f>IF(ster!$A$1=1,names!B249,IF(ster!$A$1=2,names!C249))</f>
        <v>Wybrane dane finansowe</v>
      </c>
      <c r="B249" s="717" t="s">
        <v>430</v>
      </c>
      <c r="C249" s="716" t="s">
        <v>791</v>
      </c>
      <c r="D249" s="716"/>
    </row>
    <row r="250" spans="1:6">
      <c r="A250" s="715" t="str">
        <f>IF(ster!$A$1=1,names!B250,IF(ster!$A$1=2,names!C250))</f>
        <v>Kluczowe dane finansowe</v>
      </c>
      <c r="B250" s="717" t="s">
        <v>261</v>
      </c>
      <c r="C250" s="716" t="s">
        <v>792</v>
      </c>
      <c r="D250" s="716"/>
    </row>
    <row r="251" spans="1:6">
      <c r="A251" s="715">
        <f>IF(ster!$A$1=1,names!B251,IF(ster!$A$1=2,names!C251))</f>
        <v>0</v>
      </c>
      <c r="B251" s="716"/>
      <c r="C251" s="716"/>
      <c r="D251" s="716"/>
    </row>
    <row r="252" spans="1:6" ht="32.25">
      <c r="A252" s="715" t="str">
        <f>IF(ster!$A$1=1,names!B252,IF(ster!$A$1=2,names!C252))</f>
        <v>Kluczowe dane finansowe
[mln PLN]</v>
      </c>
      <c r="B252" s="716" t="s">
        <v>213</v>
      </c>
      <c r="C252" s="716" t="s">
        <v>902</v>
      </c>
      <c r="D252" s="716"/>
    </row>
    <row r="253" spans="1:6">
      <c r="A253" s="715">
        <f>IF(ster!$A$1=1,names!B253,IF(ster!$A$1=2,names!C253))</f>
        <v>0</v>
      </c>
      <c r="B253" s="716"/>
      <c r="C253" s="716"/>
      <c r="D253" s="716"/>
    </row>
    <row r="254" spans="1:6">
      <c r="A254" s="715" t="str">
        <f>IF(ster!$A$1=1,names!B254,IF(ster!$A$1=2,names!C254))</f>
        <v>Przychody ze sprzedaży</v>
      </c>
      <c r="B254" s="716" t="s">
        <v>57</v>
      </c>
      <c r="C254" s="716" t="s">
        <v>903</v>
      </c>
      <c r="D254" s="716"/>
    </row>
    <row r="255" spans="1:6" ht="48">
      <c r="A255" s="715" t="str">
        <f>IF(ster!$A$1=1,names!B255,IF(ster!$A$1=2,names!C255))</f>
        <v>Zysk/(Strata) z działalności operacyjnej wg LIFO powiększona o amortyzację (EBITDA LIFO) przed odpisem aktualizującym**, ***, w tym:</v>
      </c>
      <c r="B255" s="716" t="s">
        <v>936</v>
      </c>
      <c r="C255" s="716" t="s">
        <v>904</v>
      </c>
      <c r="D255" s="716"/>
    </row>
    <row r="256" spans="1:6">
      <c r="A256" s="715" t="str">
        <f>IF(ster!$A$1=1,names!B256,IF(ster!$A$1=2,names!C256))</f>
        <v>Rafineria</v>
      </c>
      <c r="B256" s="716" t="s">
        <v>50</v>
      </c>
      <c r="C256" s="716" t="s">
        <v>905</v>
      </c>
      <c r="D256" s="716"/>
    </row>
    <row r="257" spans="1:4">
      <c r="A257" s="715" t="str">
        <f>IF(ster!$A$1=1,names!B257,IF(ster!$A$1=2,names!C257))</f>
        <v>Petrochemia</v>
      </c>
      <c r="B257" s="716" t="s">
        <v>52</v>
      </c>
      <c r="C257" s="716" t="s">
        <v>906</v>
      </c>
      <c r="D257" s="716"/>
    </row>
    <row r="258" spans="1:4">
      <c r="A258" s="715" t="str">
        <f>IF(ster!$A$1=1,names!B258,IF(ster!$A$1=2,names!C258))</f>
        <v>Energetyka</v>
      </c>
      <c r="B258" s="716" t="s">
        <v>424</v>
      </c>
      <c r="C258" s="716" t="s">
        <v>907</v>
      </c>
      <c r="D258" s="716"/>
    </row>
    <row r="259" spans="1:4">
      <c r="A259" s="715" t="str">
        <f>IF(ster!$A$1=1,names!B259,IF(ster!$A$1=2,names!C259))</f>
        <v>Detal</v>
      </c>
      <c r="B259" s="716" t="s">
        <v>53</v>
      </c>
      <c r="C259" s="716" t="s">
        <v>908</v>
      </c>
      <c r="D259" s="716"/>
    </row>
    <row r="260" spans="1:4">
      <c r="A260" s="715" t="str">
        <f>IF(ster!$A$1=1,names!B260,IF(ster!$A$1=2,names!C260))</f>
        <v>Wydobycie</v>
      </c>
      <c r="B260" s="716" t="s">
        <v>271</v>
      </c>
      <c r="C260" s="716" t="s">
        <v>909</v>
      </c>
      <c r="D260" s="716"/>
    </row>
    <row r="261" spans="1:4">
      <c r="A261" s="715" t="str">
        <f>IF(ster!$A$1=1,names!B261,IF(ster!$A$1=2,names!C261))</f>
        <v>Gaz</v>
      </c>
      <c r="B261" s="716" t="s">
        <v>615</v>
      </c>
      <c r="C261" s="716" t="s">
        <v>910</v>
      </c>
      <c r="D261" s="716"/>
    </row>
    <row r="262" spans="1:4">
      <c r="A262" s="715" t="str">
        <f>IF(ster!$A$1=1,names!B262,IF(ster!$A$1=2,names!C262))</f>
        <v xml:space="preserve">  Corporate functions 1</v>
      </c>
      <c r="B262" s="716" t="s">
        <v>911</v>
      </c>
      <c r="C262" s="716" t="s">
        <v>911</v>
      </c>
      <c r="D262" s="716"/>
    </row>
    <row r="263" spans="1:4">
      <c r="A263" s="715" t="str">
        <f>IF(ster!$A$1=1,names!B263,IF(ster!$A$1=2,names!C263))</f>
        <v>Wyłączenia</v>
      </c>
      <c r="B263" s="716" t="s">
        <v>602</v>
      </c>
      <c r="C263" s="716" t="s">
        <v>912</v>
      </c>
      <c r="D263" s="716"/>
    </row>
    <row r="264" spans="1:4" ht="32.25">
      <c r="A264" s="715" t="str">
        <f>IF(ster!$A$1=1,names!B264,IF(ster!$A$1=2,names!C264))</f>
        <v>Zysk/(Strata) z działalności operacyjnej wg LIFO powiększona o amortyzację (EBITDA LIFO)***, w tym:</v>
      </c>
      <c r="B264" s="716" t="s">
        <v>460</v>
      </c>
      <c r="C264" s="716" t="s">
        <v>913</v>
      </c>
      <c r="D264" s="716"/>
    </row>
    <row r="265" spans="1:4">
      <c r="A265" s="715" t="str">
        <f>IF(ster!$A$1=1,names!B265,IF(ster!$A$1=2,names!C265))</f>
        <v>Rafineria</v>
      </c>
      <c r="B265" s="716" t="s">
        <v>50</v>
      </c>
      <c r="C265" s="716" t="s">
        <v>905</v>
      </c>
      <c r="D265" s="716"/>
    </row>
    <row r="266" spans="1:4">
      <c r="A266" s="715" t="str">
        <f>IF(ster!$A$1=1,names!B266,IF(ster!$A$1=2,names!C266))</f>
        <v>Petrochemia</v>
      </c>
      <c r="B266" s="716" t="s">
        <v>52</v>
      </c>
      <c r="C266" s="716" t="s">
        <v>906</v>
      </c>
      <c r="D266" s="716"/>
    </row>
    <row r="267" spans="1:4">
      <c r="A267" s="715" t="str">
        <f>IF(ster!$A$1=1,names!B267,IF(ster!$A$1=2,names!C267))</f>
        <v>Energetyka</v>
      </c>
      <c r="B267" s="716" t="s">
        <v>424</v>
      </c>
      <c r="C267" s="716" t="s">
        <v>907</v>
      </c>
      <c r="D267" s="716"/>
    </row>
    <row r="268" spans="1:4">
      <c r="A268" s="715" t="str">
        <f>IF(ster!$A$1=1,names!B268,IF(ster!$A$1=2,names!C268))</f>
        <v>Detal</v>
      </c>
      <c r="B268" s="716" t="s">
        <v>53</v>
      </c>
      <c r="C268" s="716" t="s">
        <v>908</v>
      </c>
      <c r="D268" s="716"/>
    </row>
    <row r="269" spans="1:4">
      <c r="A269" s="715" t="str">
        <f>IF(ster!$A$1=1,names!B269,IF(ster!$A$1=2,names!C269))</f>
        <v>Wydobycie</v>
      </c>
      <c r="B269" s="716" t="s">
        <v>271</v>
      </c>
      <c r="C269" s="716" t="s">
        <v>909</v>
      </c>
      <c r="D269" s="716"/>
    </row>
    <row r="270" spans="1:4">
      <c r="A270" s="715" t="str">
        <f>IF(ster!$A$1=1,names!B270,IF(ster!$A$1=2,names!C270))</f>
        <v>Gaz</v>
      </c>
      <c r="B270" s="716" t="s">
        <v>615</v>
      </c>
      <c r="C270" s="716" t="s">
        <v>910</v>
      </c>
      <c r="D270" s="716"/>
    </row>
    <row r="271" spans="1:4">
      <c r="A271" s="715" t="str">
        <f>IF(ster!$A$1=1,names!B271,IF(ster!$A$1=2,names!C271))</f>
        <v xml:space="preserve">  Corporate functions 1</v>
      </c>
      <c r="B271" s="716" t="s">
        <v>911</v>
      </c>
      <c r="C271" s="716" t="s">
        <v>911</v>
      </c>
      <c r="D271" s="716"/>
    </row>
    <row r="272" spans="1:4">
      <c r="A272" s="715" t="str">
        <f>IF(ster!$A$1=1,names!B272,IF(ster!$A$1=2,names!C272))</f>
        <v>Wyłączenia</v>
      </c>
      <c r="B272" s="716" t="s">
        <v>602</v>
      </c>
      <c r="C272" s="716" t="s">
        <v>912</v>
      </c>
      <c r="D272" s="716"/>
    </row>
    <row r="273" spans="1:4" ht="32.25">
      <c r="A273" s="715" t="str">
        <f>IF(ster!$A$1=1,names!B273,IF(ster!$A$1=2,names!C273))</f>
        <v>Zysk/(Strata) z działalności operacyjnej wg LIFO powiększona o amortyzację (EBITDA LIFO)***, w tym:</v>
      </c>
      <c r="B273" s="716" t="s">
        <v>460</v>
      </c>
      <c r="C273" s="716" t="s">
        <v>913</v>
      </c>
      <c r="D273" s="716"/>
    </row>
    <row r="274" spans="1:4">
      <c r="A274" s="715" t="str">
        <f>IF(ster!$A$1=1,names!B274,IF(ster!$A$1=2,names!C274))</f>
        <v>ORLEN S.A.</v>
      </c>
      <c r="B274" s="716" t="s">
        <v>725</v>
      </c>
      <c r="C274" s="716" t="s">
        <v>725</v>
      </c>
      <c r="D274" s="716"/>
    </row>
    <row r="275" spans="1:4">
      <c r="A275" s="715" t="str">
        <f>IF(ster!$A$1=1,names!B275,IF(ster!$A$1=2,names!C275))</f>
        <v>Grupa Unipetrol</v>
      </c>
      <c r="B275" s="716" t="s">
        <v>218</v>
      </c>
      <c r="C275" s="716" t="s">
        <v>914</v>
      </c>
      <c r="D275" s="716"/>
    </row>
    <row r="276" spans="1:4">
      <c r="A276" s="715" t="str">
        <f>IF(ster!$A$1=1,names!B276,IF(ster!$A$1=2,names!C276))</f>
        <v>Grupa ORLEN Lietuva</v>
      </c>
      <c r="B276" s="716" t="s">
        <v>219</v>
      </c>
      <c r="C276" s="716" t="s">
        <v>915</v>
      </c>
      <c r="D276" s="716"/>
    </row>
    <row r="277" spans="1:4">
      <c r="A277" s="715" t="str">
        <f>IF(ster!$A$1=1,names!B277,IF(ster!$A$1=2,names!C277))</f>
        <v>Energa</v>
      </c>
      <c r="B277" s="716" t="s">
        <v>454</v>
      </c>
      <c r="C277" s="716" t="s">
        <v>916</v>
      </c>
      <c r="D277" s="716"/>
    </row>
    <row r="278" spans="1:4">
      <c r="A278" s="715" t="str">
        <f>IF(ster!$A$1=1,names!B278,IF(ster!$A$1=2,names!C278))</f>
        <v>Pozostałe</v>
      </c>
      <c r="B278" s="716" t="s">
        <v>47</v>
      </c>
      <c r="C278" s="716" t="s">
        <v>917</v>
      </c>
      <c r="D278" s="716"/>
    </row>
    <row r="279" spans="1:4" ht="32.25">
      <c r="A279" s="715" t="str">
        <f>IF(ster!$A$1=1,names!B279,IF(ster!$A$1=2,names!C279))</f>
        <v>Zysk/(Strata) z działalności operacyjnej powiększona o amortyzację (EBITDA)***</v>
      </c>
      <c r="B279" s="716" t="s">
        <v>461</v>
      </c>
      <c r="C279" s="716" t="s">
        <v>918</v>
      </c>
      <c r="D279" s="716"/>
    </row>
    <row r="280" spans="1:4">
      <c r="A280" s="715" t="str">
        <f>IF(ster!$A$1=1,names!B280,IF(ster!$A$1=2,names!C280))</f>
        <v>Amortyzacja, w tym:</v>
      </c>
      <c r="B280" s="716" t="s">
        <v>221</v>
      </c>
      <c r="C280" s="716" t="s">
        <v>919</v>
      </c>
      <c r="D280" s="716"/>
    </row>
    <row r="281" spans="1:4">
      <c r="A281" s="715" t="str">
        <f>IF(ster!$A$1=1,names!B281,IF(ster!$A$1=2,names!C281))</f>
        <v>Rafineria</v>
      </c>
      <c r="B281" s="716" t="s">
        <v>50</v>
      </c>
      <c r="C281" s="716" t="s">
        <v>905</v>
      </c>
      <c r="D281" s="716"/>
    </row>
    <row r="282" spans="1:4">
      <c r="A282" s="715" t="str">
        <f>IF(ster!$A$1=1,names!B282,IF(ster!$A$1=2,names!C282))</f>
        <v>Petrochemia</v>
      </c>
      <c r="B282" s="716" t="s">
        <v>52</v>
      </c>
      <c r="C282" s="716" t="s">
        <v>906</v>
      </c>
      <c r="D282" s="716"/>
    </row>
    <row r="283" spans="1:4">
      <c r="A283" s="715" t="str">
        <f>IF(ster!$A$1=1,names!B283,IF(ster!$A$1=2,names!C283))</f>
        <v>Energetyka</v>
      </c>
      <c r="B283" s="716" t="s">
        <v>424</v>
      </c>
      <c r="C283" s="716" t="s">
        <v>907</v>
      </c>
      <c r="D283" s="716"/>
    </row>
    <row r="284" spans="1:4">
      <c r="A284" s="715" t="str">
        <f>IF(ster!$A$1=1,names!B284,IF(ster!$A$1=2,names!C284))</f>
        <v>Detal</v>
      </c>
      <c r="B284" s="716" t="s">
        <v>53</v>
      </c>
      <c r="C284" s="716" t="s">
        <v>908</v>
      </c>
      <c r="D284" s="716"/>
    </row>
    <row r="285" spans="1:4">
      <c r="A285" s="715" t="str">
        <f>IF(ster!$A$1=1,names!B285,IF(ster!$A$1=2,names!C285))</f>
        <v>Wydobycie</v>
      </c>
      <c r="B285" s="716" t="s">
        <v>271</v>
      </c>
      <c r="C285" s="716" t="s">
        <v>909</v>
      </c>
      <c r="D285" s="716"/>
    </row>
    <row r="286" spans="1:4">
      <c r="A286" s="715" t="str">
        <f>IF(ster!$A$1=1,names!B286,IF(ster!$A$1=2,names!C286))</f>
        <v>Gaz</v>
      </c>
      <c r="B286" s="716" t="s">
        <v>615</v>
      </c>
      <c r="C286" s="716" t="s">
        <v>910</v>
      </c>
      <c r="D286" s="716"/>
    </row>
    <row r="287" spans="1:4">
      <c r="A287" s="715" t="str">
        <f>IF(ster!$A$1=1,names!B287,IF(ster!$A$1=2,names!C287))</f>
        <v xml:space="preserve">  Corporate functions 1</v>
      </c>
      <c r="B287" s="716" t="s">
        <v>911</v>
      </c>
      <c r="C287" s="716" t="s">
        <v>911</v>
      </c>
      <c r="D287" s="716"/>
    </row>
    <row r="288" spans="1:4" ht="32.25">
      <c r="A288" s="715" t="str">
        <f>IF(ster!$A$1=1,names!B288,IF(ster!$A$1=2,names!C288))</f>
        <v>Zysk/(Strata) z działalności operacyjnej wg LIFO (EBIT LIFO)***, w tym:</v>
      </c>
      <c r="B288" s="716" t="s">
        <v>462</v>
      </c>
      <c r="C288" s="716" t="s">
        <v>920</v>
      </c>
      <c r="D288" s="716"/>
    </row>
    <row r="289" spans="1:6">
      <c r="A289" s="715" t="str">
        <f>IF(ster!$A$1=1,names!B289,IF(ster!$A$1=2,names!C289))</f>
        <v>Rafineria</v>
      </c>
      <c r="B289" s="716" t="s">
        <v>50</v>
      </c>
      <c r="C289" s="716" t="s">
        <v>905</v>
      </c>
      <c r="D289" s="716"/>
    </row>
    <row r="290" spans="1:6">
      <c r="A290" s="715" t="str">
        <f>IF(ster!$A$1=1,names!B290,IF(ster!$A$1=2,names!C290))</f>
        <v>Petrochemia</v>
      </c>
      <c r="B290" s="716" t="s">
        <v>52</v>
      </c>
      <c r="C290" s="716" t="s">
        <v>906</v>
      </c>
      <c r="D290" s="716"/>
    </row>
    <row r="291" spans="1:6">
      <c r="A291" s="715" t="str">
        <f>IF(ster!$A$1=1,names!B291,IF(ster!$A$1=2,names!C291))</f>
        <v>Energetyka</v>
      </c>
      <c r="B291" s="716" t="s">
        <v>424</v>
      </c>
      <c r="C291" s="716" t="s">
        <v>907</v>
      </c>
      <c r="D291" s="716"/>
    </row>
    <row r="292" spans="1:6">
      <c r="A292" s="715" t="str">
        <f>IF(ster!$A$1=1,names!B292,IF(ster!$A$1=2,names!C292))</f>
        <v>Detal</v>
      </c>
      <c r="B292" s="716" t="s">
        <v>53</v>
      </c>
      <c r="C292" s="716" t="s">
        <v>908</v>
      </c>
      <c r="D292" s="716"/>
    </row>
    <row r="293" spans="1:6">
      <c r="A293" s="715" t="str">
        <f>IF(ster!$A$1=1,names!B293,IF(ster!$A$1=2,names!C293))</f>
        <v>Wydobycie</v>
      </c>
      <c r="B293" s="716" t="s">
        <v>271</v>
      </c>
      <c r="C293" s="716" t="s">
        <v>909</v>
      </c>
      <c r="D293" s="716"/>
    </row>
    <row r="294" spans="1:6">
      <c r="A294" s="715" t="str">
        <f>IF(ster!$A$1=1,names!B294,IF(ster!$A$1=2,names!C294))</f>
        <v>Gaz</v>
      </c>
      <c r="B294" s="716" t="s">
        <v>615</v>
      </c>
      <c r="C294" s="716" t="s">
        <v>910</v>
      </c>
      <c r="D294" s="716"/>
    </row>
    <row r="295" spans="1:6">
      <c r="A295" s="715" t="str">
        <f>IF(ster!$A$1=1,names!B295,IF(ster!$A$1=2,names!C295))</f>
        <v xml:space="preserve">  Corporate functions 1</v>
      </c>
      <c r="B295" s="716" t="s">
        <v>911</v>
      </c>
      <c r="C295" s="716" t="s">
        <v>911</v>
      </c>
      <c r="D295" s="716"/>
    </row>
    <row r="296" spans="1:6">
      <c r="A296" s="715" t="str">
        <f>IF(ster!$A$1=1,names!B296,IF(ster!$A$1=2,names!C296))</f>
        <v>Wyłączenia</v>
      </c>
      <c r="B296" s="716" t="s">
        <v>602</v>
      </c>
      <c r="C296" s="716" t="s">
        <v>912</v>
      </c>
      <c r="D296" s="716"/>
    </row>
    <row r="297" spans="1:6">
      <c r="A297" s="715" t="str">
        <f>IF(ster!$A$1=1,names!B297,IF(ster!$A$1=2,names!C297))</f>
        <v>Zysk/(Strata) z działalności operacyjnej (EBIT)***</v>
      </c>
      <c r="B297" s="716" t="s">
        <v>463</v>
      </c>
      <c r="C297" s="716" t="s">
        <v>921</v>
      </c>
      <c r="D297" s="716"/>
    </row>
    <row r="298" spans="1:6">
      <c r="A298" s="715" t="str">
        <f>IF(ster!$A$1=1,names!B298,IF(ster!$A$1=2,names!C298))</f>
        <v>Zysk/(Strata) netto</v>
      </c>
      <c r="B298" s="716" t="s">
        <v>126</v>
      </c>
      <c r="C298" s="716" t="s">
        <v>922</v>
      </c>
      <c r="D298" s="716"/>
    </row>
    <row r="299" spans="1:6">
      <c r="A299" s="715" t="str">
        <f>IF(ster!$A$1=1,names!B299,IF(ster!$A$1=2,names!C299))</f>
        <v>Zysk/(Strata) akcjonariuszy Jednostki Dominującej</v>
      </c>
      <c r="B299" s="716" t="s">
        <v>224</v>
      </c>
      <c r="C299" s="716" t="s">
        <v>923</v>
      </c>
      <c r="D299" s="716"/>
    </row>
    <row r="300" spans="1:6">
      <c r="A300" s="715" t="str">
        <f>IF(ster!$A$1=1,names!B300,IF(ster!$A$1=2,names!C300))</f>
        <v>Aktywa razem</v>
      </c>
      <c r="B300" s="716" t="s">
        <v>67</v>
      </c>
      <c r="C300" s="716" t="s">
        <v>924</v>
      </c>
      <c r="D300" s="716"/>
    </row>
    <row r="301" spans="1:6">
      <c r="A301" s="715" t="str">
        <f>IF(ster!$A$1=1,names!B301,IF(ster!$A$1=2,names!C301))</f>
        <v>Kapitał własny</v>
      </c>
      <c r="B301" s="716" t="s">
        <v>225</v>
      </c>
      <c r="C301" s="716" t="s">
        <v>925</v>
      </c>
      <c r="D301" s="716"/>
    </row>
    <row r="302" spans="1:6">
      <c r="A302" s="715" t="str">
        <f>IF(ster!$A$1=1,names!B302,IF(ster!$A$1=2,names!C302))</f>
        <v>Dług netto</v>
      </c>
      <c r="B302" s="716" t="s">
        <v>226</v>
      </c>
      <c r="C302" s="716" t="s">
        <v>926</v>
      </c>
      <c r="D302" s="716"/>
      <c r="E302" s="710"/>
      <c r="F302" s="710"/>
    </row>
    <row r="303" spans="1:6">
      <c r="A303" s="715" t="str">
        <f>IF(ster!$A$1=1,names!B303,IF(ster!$A$1=2,names!C303))</f>
        <v>Środki pieniężne netto z działalności operacyjnej</v>
      </c>
      <c r="B303" s="716" t="s">
        <v>227</v>
      </c>
      <c r="C303" s="716" t="s">
        <v>927</v>
      </c>
      <c r="D303" s="716"/>
    </row>
    <row r="304" spans="1:6">
      <c r="A304" s="715" t="str">
        <f>IF(ster!$A$1=1,names!B304,IF(ster!$A$1=2,names!C304))</f>
        <v>Środki pieniężne netto z działalności inwestycyjnej</v>
      </c>
      <c r="B304" s="716" t="s">
        <v>228</v>
      </c>
      <c r="C304" s="716" t="s">
        <v>928</v>
      </c>
      <c r="D304" s="716"/>
    </row>
    <row r="305" spans="1:4">
      <c r="A305" s="715" t="str">
        <f>IF(ster!$A$1=1,names!B305,IF(ster!$A$1=2,names!C305))</f>
        <v>Zwiększenie aktywów trwałych ****</v>
      </c>
      <c r="B305" s="716" t="s">
        <v>386</v>
      </c>
      <c r="C305" s="716" t="s">
        <v>929</v>
      </c>
      <c r="D305" s="716"/>
    </row>
    <row r="306" spans="1:4">
      <c r="A306" s="715" t="str">
        <f>IF(ster!$A$1=1,names!B306,IF(ster!$A$1=2,names!C306))</f>
        <v>Zwrot z zaangażowanego kapitału (ROACE) [%] 2)</v>
      </c>
      <c r="B306" s="716" t="s">
        <v>1863</v>
      </c>
      <c r="C306" s="716" t="s">
        <v>1864</v>
      </c>
      <c r="D306" s="716"/>
    </row>
    <row r="307" spans="1:4">
      <c r="A307" s="715" t="str">
        <f>IF(ster!$A$1=1,names!B307,IF(ster!$A$1=2,names!C307))</f>
        <v>Zwrot z zaangażowanego kapitału wg LIFO (ROACE LIFO) [%] 3)</v>
      </c>
      <c r="B307" s="716" t="s">
        <v>1865</v>
      </c>
      <c r="C307" s="716" t="s">
        <v>1866</v>
      </c>
      <c r="D307" s="716"/>
    </row>
    <row r="308" spans="1:4">
      <c r="A308" s="715" t="str">
        <f>IF(ster!$A$1=1,names!B308,IF(ster!$A$1=2,names!C308))</f>
        <v>Dźwignia finansowa netto [%] 4)</v>
      </c>
      <c r="B308" s="716" t="s">
        <v>1867</v>
      </c>
      <c r="C308" s="716" t="s">
        <v>1868</v>
      </c>
      <c r="D308" s="716"/>
    </row>
    <row r="309" spans="1:4" ht="48">
      <c r="A309" s="715" t="str">
        <f>IF(ster!$A$1=1,names!B309,IF(ster!$A$1=2,names!C309))</f>
        <v>Dług netto/Wynik z działalności operacyjnej wg LIFO powiększony o amortyzację z ostatnich czterech kwartałów  (EBITDA LIFO) 6)</v>
      </c>
      <c r="B309" s="716" t="s">
        <v>1312</v>
      </c>
      <c r="C309" s="716" t="s">
        <v>1313</v>
      </c>
      <c r="D309" s="716"/>
    </row>
    <row r="310" spans="1:4" ht="32.25">
      <c r="A310" s="715" t="str">
        <f>IF(ster!$A$1=1,names!B310,IF(ster!$A$1=2,names!C310))</f>
        <v>Dług netto/Wynik z działalności operacyjnej powiększony o amortyzację z ostatnich czterech kwartałów  (EBITDA) 7)</v>
      </c>
      <c r="B310" s="716" t="s">
        <v>1314</v>
      </c>
      <c r="C310" s="716" t="s">
        <v>1315</v>
      </c>
      <c r="D310" s="716"/>
    </row>
    <row r="311" spans="1:4" ht="32.25">
      <c r="A311" s="715" t="str">
        <f>IF(ster!$A$1=1,names!B311,IF(ster!$A$1=2,names!C311))</f>
        <v>Zysk/(Strata) netto akcjonariuszy Jednostki Dominującej na jedną akcję (EPS) [PLN/akcję]</v>
      </c>
      <c r="B311" s="716" t="s">
        <v>229</v>
      </c>
      <c r="C311" s="716" t="s">
        <v>930</v>
      </c>
      <c r="D311" s="716"/>
    </row>
    <row r="312" spans="1:4">
      <c r="A312" s="715">
        <f>IF(ster!$A$1=1,names!B312,IF(ster!$A$1=2,names!C312))</f>
        <v>0</v>
      </c>
      <c r="B312" s="716"/>
      <c r="C312" s="716"/>
      <c r="D312" s="716"/>
    </row>
    <row r="313" spans="1:4" ht="32.25">
      <c r="A313" s="715" t="str">
        <f>IF(ster!$A$1=1,names!B313,IF(ster!$A$1=2,names!C313))</f>
        <v>Wpływ wyceny zapasów wg LIFO
 [mln PLN]</v>
      </c>
      <c r="B313" s="716" t="s">
        <v>230</v>
      </c>
      <c r="C313" s="716" t="s">
        <v>931</v>
      </c>
      <c r="D313" s="716"/>
    </row>
    <row r="314" spans="1:4" ht="32.25">
      <c r="A314" s="715" t="str">
        <f>IF(ster!$A$1=1,names!B314,IF(ster!$A$1=2,names!C314))</f>
        <v>Wpływ wyceny zapasów wg LIFO na poziom EBITDA, w tym:</v>
      </c>
      <c r="B314" s="716" t="s">
        <v>231</v>
      </c>
      <c r="C314" s="716" t="s">
        <v>932</v>
      </c>
      <c r="D314" s="716"/>
    </row>
    <row r="315" spans="1:4">
      <c r="A315" s="715" t="str">
        <f>IF(ster!$A$1=1,names!B315,IF(ster!$A$1=2,names!C315))</f>
        <v>ORLEN S.A.</v>
      </c>
      <c r="B315" s="716" t="s">
        <v>725</v>
      </c>
      <c r="C315" s="716" t="s">
        <v>725</v>
      </c>
      <c r="D315" s="716"/>
    </row>
    <row r="316" spans="1:4">
      <c r="A316" s="715" t="str">
        <f>IF(ster!$A$1=1,names!B316,IF(ster!$A$1=2,names!C316))</f>
        <v>Grupa Unipetrol</v>
      </c>
      <c r="B316" s="716" t="s">
        <v>218</v>
      </c>
      <c r="C316" s="716" t="s">
        <v>933</v>
      </c>
      <c r="D316" s="716"/>
    </row>
    <row r="317" spans="1:4">
      <c r="A317" s="715" t="str">
        <f>IF(ster!$A$1=1,names!B317,IF(ster!$A$1=2,names!C317))</f>
        <v>Grupa ORLEN Lietuva</v>
      </c>
      <c r="B317" s="716" t="s">
        <v>219</v>
      </c>
      <c r="C317" s="716" t="s">
        <v>934</v>
      </c>
      <c r="D317" s="716"/>
    </row>
    <row r="318" spans="1:4">
      <c r="A318" s="715" t="str">
        <f>IF(ster!$A$1=1,names!B318,IF(ster!$A$1=2,names!C318))</f>
        <v>Pozostałe</v>
      </c>
      <c r="B318" s="716" t="s">
        <v>47</v>
      </c>
      <c r="C318" s="716" t="s">
        <v>935</v>
      </c>
      <c r="D318" s="716"/>
    </row>
    <row r="319" spans="1:4" ht="32.25">
      <c r="A319" s="715" t="str">
        <f>IF(ster!$A$1=1,names!B319,IF(ster!$A$1=2,names!C319))</f>
        <v>*) Segment rafineria, petrochemia i energetyka: dane przekształcone.</v>
      </c>
      <c r="B319" s="716" t="s">
        <v>455</v>
      </c>
      <c r="C319" s="716" t="s">
        <v>937</v>
      </c>
      <c r="D319" s="716"/>
    </row>
    <row r="320" spans="1:4" ht="90.75" customHeight="1">
      <c r="A320" s="715" t="str">
        <f>IF(ster!$A$1=1,names!B320,IF(ster!$A$1=2,names!C320))</f>
        <v>**) Odpisy aktualizujące wartość aktywów trwałych ujęte w:
- III kwartale 2019 roku w wysokości (0,1) mld PLN dotyczące głównie działalności poszukiwawczej Grupy ORLEN Upstream w Polsce.
- IV kwartale 2019 roku w wysokości (0,1) mld PLN dotyczące głównie działalności poszukiwawczej Grupy ORLEN Upstream w Polsce.
- I kwartale 2020 roku w wysokości (0,5) mld PLN dotyczące głównie aktywów Grupy ORLEN Upstream.
- II kwartale 2020 roku w wysokości (0,2) mld PLN dotyczące głównie aktywów Grupy ORLEN Upstream.
- IV kwartale 2020 roku w wysokości (0,9) mld PLN dotyczące głównie aktywów Grupy ORLEN Upstream.
- IV kwartale 2021 roku w wysokości 0,9 mld PLN dotyczące głównie aktywów Grupy ORLEN Upstream.
- II kwartale 2022 roku w wysokości (2,9) mld PLN dotyczące głównie aktywów ORLEN S.A. oraz Grupy ORLEN Lietuva.
- IV kwartale 2022 roku w wysokości (3,1) mld PLN dotyczące głównie aktywów ORLEN S.A. oraz spółek dawnej Grupy LOTOS.
- I kwartale 2023 roku w wysokości (2,2) mld PLN dotyczące głównie aktywów wydobywczych ORLEN S.A. w Polsce i Pakistanie.
- III kwartale 2023 roku w wysokości (1,1) mld PLN dotyczące głównie odpisu aktualizującego wartość inwestycji w EuRoPol Gaz.
- IV kwartale 2023 roku w wysokości (13,9) mld PLN dotyczące głównie aktywów petrochemicznych ORLEN S.A.
- I kwartale 2024 roku w wysokości (0,7) mld PLN dotyczące głównie aktywów petrochemicznych ORLEN S.A.
- II kwartale 2024 roku w wysokości (0,5) mld PLN dotyczące głównie aktywów petrochemicznych ORLEN S.A.
- III kwartale 2024 roku w wysokości (3,5) mld PLN dotyczące głównie aktywów ORLEN S.A. oraz Grupy ORLEN Lietuva.
- IV kwartale 2024 roku w wysokości (1,1) mld PLN dotyczące głównie aktywów wydobywczych Grupy ORLEN Upstream oraz ORLEN S.A.</v>
      </c>
      <c r="B320" s="716" t="s">
        <v>1646</v>
      </c>
      <c r="C320" s="716" t="s">
        <v>1647</v>
      </c>
      <c r="D320" s="716"/>
    </row>
    <row r="321" spans="1:4" ht="111">
      <c r="A321" s="715" t="str">
        <f>IF(ster!$A$1=1,names!B321,IF(ster!$A$1=2,names!C321))</f>
        <v>***) W okresie 3 miesięcy zakończonym 30 czerwca 2020 roku oraz w okresie 12 miesięcy zakończonym 31 grudnia 2020 roku z uwzględnieniem rozpoznania zysku z tytułu okazyjnego nabycia 80% akcji Grupy ENERGA w wysokości 4 062 mln PLN. W okresie 3 miesięcy zakończonym 30 września 2022 roku z uwzględnieniem rozpoznania zysku z tytułu okazyjnego nabycia Grupy LOTOS w wysokości 5 923 mln PLN.</v>
      </c>
      <c r="B321" s="716" t="s">
        <v>605</v>
      </c>
      <c r="C321" s="716" t="s">
        <v>938</v>
      </c>
      <c r="D321" s="716"/>
    </row>
    <row r="322" spans="1:4" ht="63.75">
      <c r="A322" s="715" t="str">
        <f>IF(ster!$A$1=1,names!B322,IF(ster!$A$1=2,names!C322))</f>
        <v>****) Zgodnie z MSSF 16 Leasing w pozycji zwiększenie aktywów trwałych ujęto wartość praw do użytkowania - w celu zachowania spójności zaktualizowano również dane za I kwartał 2019.</v>
      </c>
      <c r="B322" s="716" t="s">
        <v>385</v>
      </c>
      <c r="C322" s="716" t="s">
        <v>939</v>
      </c>
      <c r="D322" s="716"/>
    </row>
    <row r="323" spans="1:4" ht="48">
      <c r="A323" s="715" t="str">
        <f>IF(ster!$A$1=1,names!B323,IF(ster!$A$1=2,names!C323))</f>
        <v>1) Zawiera Funkcje Korporacyjne spółek Grupy ORLEN oraz spółki nieujęte w powyższych segmentach.</v>
      </c>
      <c r="B323" s="716" t="s">
        <v>233</v>
      </c>
      <c r="C323" s="716" t="s">
        <v>940</v>
      </c>
      <c r="D323" s="716"/>
    </row>
    <row r="324" spans="1:4" ht="63.75">
      <c r="A324" s="715" t="str">
        <f>IF(ster!$A$1=1,names!B324,IF(ster!$A$1=2,names!C324))</f>
        <v>2) ROACE = zysk operacyjny z ostatnich czterech kwartałów po opodatkowaniu przed odpisem aktualizującym wartość aktywów trwałych / średni kapitał zaangażowany (kapitał własny + dług netto) z ostatnich czterech kwartałów.</v>
      </c>
      <c r="B324" s="716" t="s">
        <v>234</v>
      </c>
      <c r="C324" s="716" t="s">
        <v>941</v>
      </c>
      <c r="D324" s="716"/>
    </row>
    <row r="325" spans="1:4" ht="63.75">
      <c r="A325" s="715" t="str">
        <f>IF(ster!$A$1=1,names!B325,IF(ster!$A$1=2,names!C325))</f>
        <v>3) ROACE LIFO = zysk operacyjny z ostatnich czterech kwartałów wg LIFO po opodatkowaniu przed odpisem aktualizującym wartość aktywów trwałych / średni kapitał zaangażowany (kapitał własny + dług netto) z ostatnich czterech kwartałów.</v>
      </c>
      <c r="B325" s="715" t="s">
        <v>235</v>
      </c>
      <c r="C325" s="716" t="s">
        <v>942</v>
      </c>
      <c r="D325" s="716"/>
    </row>
    <row r="326" spans="1:4" ht="32.25">
      <c r="A326" s="715" t="str">
        <f>IF(ster!$A$1=1,names!B326,IF(ster!$A$1=2,names!C326))</f>
        <v>4) Dźwignia finansowa netto = dług netto / kapitał własny - wyliczone wg stanu na koniec okresu.</v>
      </c>
      <c r="B326" s="716" t="s">
        <v>236</v>
      </c>
      <c r="C326" s="716" t="s">
        <v>943</v>
      </c>
      <c r="D326" s="716"/>
    </row>
    <row r="327" spans="1:4" ht="32.25">
      <c r="A327" s="715" t="str">
        <f>IF(ster!$A$1=1,names!B327,IF(ster!$A$1=2,names!C327))</f>
        <v>5) Kowenant badany zgodnie z zapisami umów kredytowych bez uwzględnienia odpisów aktualizujących aktywów trwałych.</v>
      </c>
      <c r="B327" s="716" t="s">
        <v>237</v>
      </c>
      <c r="C327" s="716" t="s">
        <v>944</v>
      </c>
      <c r="D327" s="716"/>
    </row>
    <row r="328" spans="1:4" ht="48">
      <c r="A328" s="715" t="str">
        <f>IF(ster!$A$1=1,names!B328,IF(ster!$A$1=2,names!C328))</f>
        <v>6) Dług (odsetkowy) pomniejszony o środki pieniężne i ich ekwiwalenty na koniec okresu / EBITDA wg LIFO z ostatnich czterech kwartałów.</v>
      </c>
      <c r="B328" s="716" t="s">
        <v>238</v>
      </c>
      <c r="C328" s="716" t="s">
        <v>945</v>
      </c>
      <c r="D328" s="716"/>
    </row>
    <row r="329" spans="1:4" ht="48">
      <c r="A329" s="715" t="str">
        <f>IF(ster!$A$1=1,names!B329,IF(ster!$A$1=2,names!C329))</f>
        <v>7) Dług (odsetkowy) pomniejszony o środki pieniężne i ich ekwiwalenty na koniec okresu / EBITDA z ostatnich czterech kwartałów.</v>
      </c>
      <c r="B329" s="716" t="s">
        <v>239</v>
      </c>
      <c r="C329" s="716" t="s">
        <v>946</v>
      </c>
      <c r="D329" s="716"/>
    </row>
    <row r="330" spans="1:4" ht="32.25">
      <c r="A330" s="715" t="str">
        <f>IF(ster!$A$1=1,names!B330,IF(ster!$A$1=2,names!C330))</f>
        <v>12 m-cy
2019*</v>
      </c>
      <c r="B330" s="716" t="s">
        <v>436</v>
      </c>
      <c r="C330" s="716" t="s">
        <v>947</v>
      </c>
      <c r="D330" s="716"/>
    </row>
    <row r="331" spans="1:4">
      <c r="A331" s="715">
        <f>IF(ster!$A$1=1,names!B331,IF(ster!$A$1=2,names!C331))</f>
        <v>0</v>
      </c>
      <c r="B331" s="716"/>
      <c r="C331" s="716"/>
      <c r="D331" s="716"/>
    </row>
    <row r="332" spans="1:4">
      <c r="A332" s="715" t="str">
        <f>IF(ster!$A$1=1,names!B332,IF(ster!$A$1=2,names!C332))</f>
        <v>EBITDA, EBIT, Amortyzacja</v>
      </c>
      <c r="B332" s="717" t="s">
        <v>583</v>
      </c>
      <c r="C332" s="716"/>
      <c r="D332" s="716"/>
    </row>
    <row r="333" spans="1:4">
      <c r="A333" s="715" t="str">
        <f>IF(ster!$A$1=1,names!B333,IF(ster!$A$1=2,names!C333))</f>
        <v>EBITDA LIFO</v>
      </c>
      <c r="B333" s="716" t="s">
        <v>211</v>
      </c>
      <c r="C333" s="716" t="s">
        <v>211</v>
      </c>
      <c r="D333" s="716"/>
    </row>
    <row r="334" spans="1:4">
      <c r="A334" s="715">
        <f>IF(ster!$A$1=1,names!B334,IF(ster!$A$1=2,names!C334))</f>
        <v>0</v>
      </c>
      <c r="B334" s="716"/>
      <c r="C334" s="716"/>
      <c r="D334" s="716"/>
    </row>
    <row r="335" spans="1:4" ht="32.25">
      <c r="A335" s="715" t="str">
        <f>IF(ster!$A$1=1,names!B335,IF(ster!$A$1=2,names!C335))</f>
        <v>Wyszczególnienie, 
mln PLN</v>
      </c>
      <c r="B335" s="716" t="s">
        <v>161</v>
      </c>
      <c r="C335" s="716" t="s">
        <v>948</v>
      </c>
      <c r="D335" s="716"/>
    </row>
    <row r="336" spans="1:4">
      <c r="A336" s="715" t="str">
        <f>IF(ster!$A$1=1,names!B336,IF(ster!$A$1=2,names!C336))</f>
        <v>Rafineria</v>
      </c>
      <c r="B336" s="716" t="s">
        <v>50</v>
      </c>
      <c r="C336" s="716" t="s">
        <v>794</v>
      </c>
      <c r="D336" s="716"/>
    </row>
    <row r="337" spans="1:7">
      <c r="A337" s="715" t="str">
        <f>IF(ster!$A$1=1,names!B337,IF(ster!$A$1=2,names!C337))</f>
        <v>efekt LIFO (Rafineria)</v>
      </c>
      <c r="B337" s="716" t="s">
        <v>205</v>
      </c>
      <c r="C337" s="716" t="s">
        <v>949</v>
      </c>
      <c r="D337" s="716"/>
    </row>
    <row r="338" spans="1:7">
      <c r="A338" s="715" t="str">
        <f>IF(ster!$A$1=1,names!B338,IF(ster!$A$1=2,names!C338))</f>
        <v xml:space="preserve">Petrochemia </v>
      </c>
      <c r="B338" s="716" t="s">
        <v>206</v>
      </c>
      <c r="C338" s="716" t="s">
        <v>795</v>
      </c>
      <c r="D338" s="716"/>
    </row>
    <row r="339" spans="1:7">
      <c r="A339" s="715" t="str">
        <f>IF(ster!$A$1=1,names!B339,IF(ster!$A$1=2,names!C339))</f>
        <v>efekt LIFO (Petrochemia)</v>
      </c>
      <c r="B339" s="716" t="s">
        <v>207</v>
      </c>
      <c r="C339" s="716" t="s">
        <v>950</v>
      </c>
      <c r="D339" s="716"/>
    </row>
    <row r="340" spans="1:7">
      <c r="A340" s="715" t="str">
        <f>IF(ster!$A$1=1,names!B340,IF(ster!$A$1=2,names!C340))</f>
        <v>Energetyka</v>
      </c>
      <c r="B340" s="716" t="s">
        <v>424</v>
      </c>
      <c r="C340" s="716" t="s">
        <v>796</v>
      </c>
      <c r="D340" s="716"/>
    </row>
    <row r="341" spans="1:7">
      <c r="A341" s="715" t="str">
        <f>IF(ster!$A$1=1,names!B341,IF(ster!$A$1=2,names!C341))</f>
        <v xml:space="preserve">Detal </v>
      </c>
      <c r="B341" s="716" t="s">
        <v>209</v>
      </c>
      <c r="C341" s="716" t="s">
        <v>797</v>
      </c>
      <c r="D341" s="716"/>
    </row>
    <row r="342" spans="1:7">
      <c r="A342" s="715" t="str">
        <f>IF(ster!$A$1=1,names!B342,IF(ster!$A$1=2,names!C342))</f>
        <v xml:space="preserve">Wydobycie </v>
      </c>
      <c r="B342" s="716" t="s">
        <v>210</v>
      </c>
      <c r="C342" s="716" t="s">
        <v>798</v>
      </c>
      <c r="D342" s="716"/>
    </row>
    <row r="343" spans="1:7">
      <c r="A343" s="715" t="str">
        <f>IF(ster!$A$1=1,names!B343,IF(ster!$A$1=2,names!C343))</f>
        <v>Gaz</v>
      </c>
      <c r="B343" s="716" t="s">
        <v>615</v>
      </c>
      <c r="C343" s="716" t="s">
        <v>799</v>
      </c>
      <c r="D343" s="716"/>
    </row>
    <row r="344" spans="1:7">
      <c r="A344" s="715" t="str">
        <f>IF(ster!$A$1=1,names!B344,IF(ster!$A$1=2,names!C344))</f>
        <v>Corporate functions</v>
      </c>
      <c r="B344" s="716" t="s">
        <v>800</v>
      </c>
      <c r="C344" s="716" t="s">
        <v>800</v>
      </c>
      <c r="D344" s="716"/>
    </row>
    <row r="345" spans="1:7">
      <c r="A345" s="715" t="str">
        <f>IF(ster!$A$1=1,names!B345,IF(ster!$A$1=2,names!C345))</f>
        <v>Wyłączenia</v>
      </c>
      <c r="B345" s="716" t="s">
        <v>602</v>
      </c>
      <c r="C345" s="716" t="s">
        <v>951</v>
      </c>
      <c r="D345" s="716"/>
    </row>
    <row r="346" spans="1:7">
      <c r="A346" s="715" t="str">
        <f>IF(ster!$A$1=1,names!B346,IF(ster!$A$1=2,names!C346))</f>
        <v>EBITDA LIFO</v>
      </c>
      <c r="B346" s="716" t="s">
        <v>211</v>
      </c>
      <c r="C346" s="716" t="s">
        <v>211</v>
      </c>
      <c r="D346" s="716"/>
    </row>
    <row r="347" spans="1:7">
      <c r="A347" s="715">
        <f>IF(ster!$A$1=1,names!B347,IF(ster!$A$1=2,names!C347))</f>
        <v>0</v>
      </c>
      <c r="B347" s="716"/>
      <c r="C347" s="716"/>
      <c r="D347" s="716"/>
    </row>
    <row r="348" spans="1:7">
      <c r="A348" s="715">
        <f>IF(ster!$A$1=1,names!B348,IF(ster!$A$1=2,names!C348))</f>
        <v>0</v>
      </c>
      <c r="B348" s="716"/>
      <c r="C348" s="716"/>
      <c r="D348" s="716"/>
    </row>
    <row r="349" spans="1:7">
      <c r="A349" s="715">
        <f>IF(ster!$A$1=1,names!B349,IF(ster!$A$1=2,names!C349))</f>
        <v>0</v>
      </c>
      <c r="B349" s="716"/>
      <c r="C349" s="716"/>
      <c r="D349" s="716"/>
    </row>
    <row r="350" spans="1:7">
      <c r="A350" s="715" t="str">
        <f>IF(ster!$A$1=1,names!B350,IF(ster!$A$1=2,names!C350))</f>
        <v>Amortyzacja</v>
      </c>
      <c r="B350" s="716" t="s">
        <v>91</v>
      </c>
      <c r="C350" s="716" t="s">
        <v>952</v>
      </c>
      <c r="D350" s="716"/>
    </row>
    <row r="351" spans="1:7">
      <c r="A351" s="715">
        <f>IF(ster!$A$1=1,names!B351,IF(ster!$A$1=2,names!C351))</f>
        <v>0</v>
      </c>
      <c r="B351" s="716"/>
      <c r="C351" s="716"/>
      <c r="D351" s="716"/>
    </row>
    <row r="352" spans="1:7" ht="32.25">
      <c r="A352" s="715" t="str">
        <f>IF(ster!$A$1=1,names!B352,IF(ster!$A$1=2,names!C352))</f>
        <v>Wyszczególnienie, 
mln PLN</v>
      </c>
      <c r="B352" s="716" t="s">
        <v>161</v>
      </c>
      <c r="C352" s="716" t="s">
        <v>948</v>
      </c>
      <c r="D352" s="716"/>
      <c r="E352" s="710"/>
      <c r="F352" s="710"/>
      <c r="G352" s="702"/>
    </row>
    <row r="353" spans="1:4">
      <c r="A353" s="715" t="str">
        <f>IF(ster!$A$1=1,names!B353,IF(ster!$A$1=2,names!C353))</f>
        <v>Rafineria</v>
      </c>
      <c r="B353" s="716" t="s">
        <v>50</v>
      </c>
      <c r="C353" s="716" t="s">
        <v>794</v>
      </c>
      <c r="D353" s="716"/>
    </row>
    <row r="354" spans="1:4">
      <c r="A354" s="715" t="str">
        <f>IF(ster!$A$1=1,names!B354,IF(ster!$A$1=2,names!C354))</f>
        <v xml:space="preserve">Petrochemia </v>
      </c>
      <c r="B354" s="716" t="s">
        <v>206</v>
      </c>
      <c r="C354" s="716" t="s">
        <v>795</v>
      </c>
      <c r="D354" s="716"/>
    </row>
    <row r="355" spans="1:4">
      <c r="A355" s="715" t="str">
        <f>IF(ster!$A$1=1,names!B355,IF(ster!$A$1=2,names!C355))</f>
        <v>Energetyka</v>
      </c>
      <c r="B355" s="716" t="s">
        <v>424</v>
      </c>
      <c r="C355" s="716" t="s">
        <v>953</v>
      </c>
      <c r="D355" s="716"/>
    </row>
    <row r="356" spans="1:4">
      <c r="A356" s="715" t="str">
        <f>IF(ster!$A$1=1,names!B356,IF(ster!$A$1=2,names!C356))</f>
        <v xml:space="preserve">Detal </v>
      </c>
      <c r="B356" s="716" t="s">
        <v>209</v>
      </c>
      <c r="C356" s="716" t="s">
        <v>797</v>
      </c>
      <c r="D356" s="716"/>
    </row>
    <row r="357" spans="1:4">
      <c r="A357" s="715" t="str">
        <f>IF(ster!$A$1=1,names!B357,IF(ster!$A$1=2,names!C357))</f>
        <v xml:space="preserve">Wydobycie </v>
      </c>
      <c r="B357" s="716" t="s">
        <v>210</v>
      </c>
      <c r="C357" s="716" t="s">
        <v>798</v>
      </c>
      <c r="D357" s="716"/>
    </row>
    <row r="358" spans="1:4">
      <c r="A358" s="715" t="str">
        <f>IF(ster!$A$1=1,names!B358,IF(ster!$A$1=2,names!C358))</f>
        <v>Gaz</v>
      </c>
      <c r="B358" s="716" t="s">
        <v>615</v>
      </c>
      <c r="C358" s="716" t="s">
        <v>799</v>
      </c>
      <c r="D358" s="716"/>
    </row>
    <row r="359" spans="1:4">
      <c r="A359" s="715" t="str">
        <f>IF(ster!$A$1=1,names!B359,IF(ster!$A$1=2,names!C359))</f>
        <v>Corporate functions</v>
      </c>
      <c r="B359" s="716" t="s">
        <v>800</v>
      </c>
      <c r="C359" s="716" t="s">
        <v>800</v>
      </c>
      <c r="D359" s="716"/>
    </row>
    <row r="360" spans="1:4">
      <c r="A360" s="715" t="str">
        <f>IF(ster!$A$1=1,names!B360,IF(ster!$A$1=2,names!C360))</f>
        <v>Amortyzacja</v>
      </c>
      <c r="B360" s="716" t="s">
        <v>91</v>
      </c>
      <c r="C360" s="716" t="s">
        <v>952</v>
      </c>
      <c r="D360" s="716"/>
    </row>
    <row r="361" spans="1:4">
      <c r="A361" s="715">
        <f>IF(ster!$A$1=1,names!B361,IF(ster!$A$1=2,names!C361))</f>
        <v>0</v>
      </c>
      <c r="B361" s="716"/>
      <c r="C361" s="716"/>
      <c r="D361" s="716"/>
    </row>
    <row r="362" spans="1:4">
      <c r="A362" s="715">
        <f>IF(ster!$A$1=1,names!B362,IF(ster!$A$1=2,names!C362))</f>
        <v>0</v>
      </c>
      <c r="B362" s="716"/>
      <c r="C362" s="716"/>
      <c r="D362" s="716"/>
    </row>
    <row r="363" spans="1:4">
      <c r="A363" s="715" t="str">
        <f>IF(ster!$A$1=1,names!B363,IF(ster!$A$1=2,names!C363))</f>
        <v>EBIT LIFO</v>
      </c>
      <c r="B363" s="716" t="s">
        <v>272</v>
      </c>
      <c r="C363" s="716" t="s">
        <v>272</v>
      </c>
      <c r="D363" s="716"/>
    </row>
    <row r="364" spans="1:4">
      <c r="A364" s="715">
        <f>IF(ster!$A$1=1,names!B364,IF(ster!$A$1=2,names!C364))</f>
        <v>0</v>
      </c>
      <c r="B364" s="716"/>
      <c r="C364" s="716"/>
      <c r="D364" s="716"/>
    </row>
    <row r="365" spans="1:4" ht="32.25">
      <c r="A365" s="715" t="str">
        <f>IF(ster!$A$1=1,names!B365,IF(ster!$A$1=2,names!C365))</f>
        <v>Wyszczególnienie, 
mln PLN</v>
      </c>
      <c r="B365" s="716" t="s">
        <v>161</v>
      </c>
      <c r="C365" s="716" t="s">
        <v>948</v>
      </c>
      <c r="D365" s="716"/>
    </row>
    <row r="366" spans="1:4">
      <c r="A366" s="715" t="str">
        <f>IF(ster!$A$1=1,names!B366,IF(ster!$A$1=2,names!C366))</f>
        <v>Rafineria</v>
      </c>
      <c r="B366" s="716" t="s">
        <v>50</v>
      </c>
      <c r="C366" s="716" t="s">
        <v>794</v>
      </c>
      <c r="D366" s="716"/>
    </row>
    <row r="367" spans="1:4">
      <c r="A367" s="715" t="str">
        <f>IF(ster!$A$1=1,names!B367,IF(ster!$A$1=2,names!C367))</f>
        <v>efekt LIFO (Rafineria)</v>
      </c>
      <c r="B367" s="716" t="s">
        <v>205</v>
      </c>
      <c r="C367" s="716" t="s">
        <v>949</v>
      </c>
      <c r="D367" s="716"/>
    </row>
    <row r="368" spans="1:4">
      <c r="A368" s="715" t="str">
        <f>IF(ster!$A$1=1,names!B368,IF(ster!$A$1=2,names!C368))</f>
        <v xml:space="preserve">Petrochemia </v>
      </c>
      <c r="B368" s="716" t="s">
        <v>206</v>
      </c>
      <c r="C368" s="716" t="s">
        <v>795</v>
      </c>
      <c r="D368" s="716"/>
    </row>
    <row r="369" spans="1:4">
      <c r="A369" s="715" t="str">
        <f>IF(ster!$A$1=1,names!B369,IF(ster!$A$1=2,names!C369))</f>
        <v>efekt LIFO (Petrochemia)</v>
      </c>
      <c r="B369" s="716" t="s">
        <v>207</v>
      </c>
      <c r="C369" s="716" t="s">
        <v>950</v>
      </c>
      <c r="D369" s="716"/>
    </row>
    <row r="370" spans="1:4">
      <c r="A370" s="715" t="str">
        <f>IF(ster!$A$1=1,names!B370,IF(ster!$A$1=2,names!C370))</f>
        <v>Energetyka</v>
      </c>
      <c r="B370" s="716" t="s">
        <v>424</v>
      </c>
      <c r="C370" s="716" t="s">
        <v>796</v>
      </c>
      <c r="D370" s="716"/>
    </row>
    <row r="371" spans="1:4">
      <c r="A371" s="715" t="str">
        <f>IF(ster!$A$1=1,names!B371,IF(ster!$A$1=2,names!C371))</f>
        <v xml:space="preserve">Detal </v>
      </c>
      <c r="B371" s="716" t="s">
        <v>209</v>
      </c>
      <c r="C371" s="716" t="s">
        <v>797</v>
      </c>
      <c r="D371" s="716"/>
    </row>
    <row r="372" spans="1:4">
      <c r="A372" s="715" t="str">
        <f>IF(ster!$A$1=1,names!B372,IF(ster!$A$1=2,names!C372))</f>
        <v xml:space="preserve">Wydobycie </v>
      </c>
      <c r="B372" s="716" t="s">
        <v>210</v>
      </c>
      <c r="C372" s="716" t="s">
        <v>798</v>
      </c>
      <c r="D372" s="716"/>
    </row>
    <row r="373" spans="1:4">
      <c r="A373" s="715" t="str">
        <f>IF(ster!$A$1=1,names!B373,IF(ster!$A$1=2,names!C373))</f>
        <v>Gaz</v>
      </c>
      <c r="B373" s="716" t="s">
        <v>615</v>
      </c>
      <c r="C373" s="716" t="s">
        <v>799</v>
      </c>
      <c r="D373" s="716"/>
    </row>
    <row r="374" spans="1:4">
      <c r="A374" s="715" t="str">
        <f>IF(ster!$A$1=1,names!B374,IF(ster!$A$1=2,names!C374))</f>
        <v>Corporate functions</v>
      </c>
      <c r="B374" s="716" t="s">
        <v>800</v>
      </c>
      <c r="C374" s="716" t="s">
        <v>800</v>
      </c>
      <c r="D374" s="716"/>
    </row>
    <row r="375" spans="1:4">
      <c r="A375" s="715" t="str">
        <f>IF(ster!$A$1=1,names!B375,IF(ster!$A$1=2,names!C375))</f>
        <v>Wyłączenia</v>
      </c>
      <c r="B375" s="716" t="s">
        <v>602</v>
      </c>
      <c r="C375" s="716" t="s">
        <v>951</v>
      </c>
      <c r="D375" s="716"/>
    </row>
    <row r="376" spans="1:4">
      <c r="A376" s="715" t="str">
        <f>IF(ster!$A$1=1,names!B376,IF(ster!$A$1=2,names!C376))</f>
        <v>EBIT LIFO</v>
      </c>
      <c r="B376" s="716" t="s">
        <v>272</v>
      </c>
      <c r="C376" s="716" t="s">
        <v>272</v>
      </c>
      <c r="D376" s="716"/>
    </row>
    <row r="377" spans="1:4" ht="32.25">
      <c r="A377" s="715" t="str">
        <f>IF(ster!$A$1=1,names!B377,IF(ster!$A$1=2,names!C377))</f>
        <v>*) Segment rafineria, petrochemia i enegetyka: dane przekształcone.</v>
      </c>
      <c r="B377" s="716" t="s">
        <v>459</v>
      </c>
      <c r="C377" s="716" t="s">
        <v>937</v>
      </c>
      <c r="D377" s="716"/>
    </row>
    <row r="378" spans="1:4">
      <c r="A378" s="715" t="str">
        <f>IF(ster!$A$1=1,names!B378,IF(ster!$A$1=2,names!C378))</f>
        <v>**) Odpis z tytułu utraty wartości aktywów zgodnie z MSR 36.</v>
      </c>
      <c r="B378" s="716" t="s">
        <v>773</v>
      </c>
      <c r="C378" s="716" t="s">
        <v>1850</v>
      </c>
      <c r="D378" s="716"/>
    </row>
    <row r="379" spans="1:4">
      <c r="A379" s="715">
        <f>IF(ster!$A$1=1,names!B379,IF(ster!$A$1=2,names!C379))</f>
        <v>0</v>
      </c>
      <c r="B379" s="716"/>
      <c r="C379" s="716"/>
      <c r="D379" s="716"/>
    </row>
    <row r="380" spans="1:4">
      <c r="A380" s="715">
        <f>IF(ster!$A$1=1,names!B380,IF(ster!$A$1=2,names!C380))</f>
        <v>0</v>
      </c>
      <c r="B380" s="716"/>
      <c r="C380" s="716"/>
      <c r="D380" s="716"/>
    </row>
    <row r="381" spans="1:4">
      <c r="A381" s="715" t="str">
        <f>IF(ster!$A$1=1,names!B381,IF(ster!$A$1=2,names!C381))</f>
        <v>LIFO</v>
      </c>
      <c r="B381" s="716" t="s">
        <v>25</v>
      </c>
      <c r="C381" s="716" t="s">
        <v>25</v>
      </c>
      <c r="D381" s="716"/>
    </row>
    <row r="382" spans="1:4">
      <c r="A382" s="715">
        <f>IF(ster!$A$1=1,names!B382,IF(ster!$A$1=2,names!C382))</f>
        <v>0</v>
      </c>
      <c r="B382" s="716"/>
      <c r="C382" s="716"/>
      <c r="D382" s="716"/>
    </row>
    <row r="383" spans="1:4">
      <c r="A383" s="715" t="str">
        <f>IF(ster!$A$1=1,names!B383,IF(ster!$A$1=2,names!C383))</f>
        <v>Odpisy</v>
      </c>
      <c r="B383" s="716" t="s">
        <v>270</v>
      </c>
      <c r="C383" s="716" t="s">
        <v>954</v>
      </c>
      <c r="D383" s="716"/>
    </row>
    <row r="384" spans="1:4">
      <c r="A384" s="715" t="str">
        <f>IF(ster!$A$1=1,names!B384,IF(ster!$A$1=2,names!C384))</f>
        <v>Rafineria</v>
      </c>
      <c r="B384" s="716" t="s">
        <v>50</v>
      </c>
      <c r="C384" s="716" t="s">
        <v>794</v>
      </c>
      <c r="D384" s="716"/>
    </row>
    <row r="385" spans="1:4">
      <c r="A385" s="715" t="str">
        <f>IF(ster!$A$1=1,names!B385,IF(ster!$A$1=2,names!C385))</f>
        <v>Petrochemia</v>
      </c>
      <c r="B385" s="716" t="s">
        <v>52</v>
      </c>
      <c r="C385" s="716" t="s">
        <v>795</v>
      </c>
      <c r="D385" s="716"/>
    </row>
    <row r="386" spans="1:4">
      <c r="A386" s="715" t="str">
        <f>IF(ster!$A$1=1,names!B386,IF(ster!$A$1=2,names!C386))</f>
        <v>Energetyka</v>
      </c>
      <c r="B386" s="716" t="s">
        <v>424</v>
      </c>
      <c r="C386" s="716" t="s">
        <v>953</v>
      </c>
      <c r="D386" s="716"/>
    </row>
    <row r="387" spans="1:4">
      <c r="A387" s="715" t="str">
        <f>IF(ster!$A$1=1,names!B387,IF(ster!$A$1=2,names!C387))</f>
        <v>Detal</v>
      </c>
      <c r="B387" s="716" t="s">
        <v>53</v>
      </c>
      <c r="C387" s="716" t="s">
        <v>797</v>
      </c>
      <c r="D387" s="716"/>
    </row>
    <row r="388" spans="1:4">
      <c r="A388" s="715" t="str">
        <f>IF(ster!$A$1=1,names!B388,IF(ster!$A$1=2,names!C388))</f>
        <v>Wydobycie</v>
      </c>
      <c r="B388" s="716" t="s">
        <v>271</v>
      </c>
      <c r="C388" s="716" t="s">
        <v>798</v>
      </c>
      <c r="D388" s="716"/>
    </row>
    <row r="389" spans="1:4">
      <c r="A389" s="715" t="str">
        <f>IF(ster!$A$1=1,names!B389,IF(ster!$A$1=2,names!C389))</f>
        <v>Gaz</v>
      </c>
      <c r="B389" s="716" t="s">
        <v>615</v>
      </c>
      <c r="C389" s="716" t="s">
        <v>799</v>
      </c>
      <c r="D389" s="716"/>
    </row>
    <row r="390" spans="1:4">
      <c r="A390" s="715" t="str">
        <f>IF(ster!$A$1=1,names!B390,IF(ster!$A$1=2,names!C390))</f>
        <v>Corporate functions</v>
      </c>
      <c r="B390" s="716" t="s">
        <v>800</v>
      </c>
      <c r="C390" s="716" t="s">
        <v>800</v>
      </c>
      <c r="D390" s="716"/>
    </row>
    <row r="391" spans="1:4">
      <c r="A391" s="715" t="str">
        <f>IF(ster!$A$1=1,names!B391,IF(ster!$A$1=2,names!C391))</f>
        <v>RAZEM</v>
      </c>
      <c r="B391" s="716" t="s">
        <v>56</v>
      </c>
      <c r="C391" s="716" t="s">
        <v>55</v>
      </c>
      <c r="D391" s="716"/>
    </row>
    <row r="392" spans="1:4" ht="32.25">
      <c r="A392" s="715" t="str">
        <f>IF(ster!$A$1=1,names!B392,IF(ster!$A$1=2,names!C392))</f>
        <v>I kw.
2019*</v>
      </c>
      <c r="B392" s="716" t="s">
        <v>433</v>
      </c>
      <c r="C392" s="716" t="s">
        <v>1007</v>
      </c>
      <c r="D392" s="716"/>
    </row>
    <row r="393" spans="1:4" ht="48">
      <c r="A393" s="715" t="str">
        <f>IF(ster!$A$1=1,names!B393,IF(ster!$A$1=2,names!C393))</f>
        <v>I kw.
2019
przed odpisem*,**</v>
      </c>
      <c r="B393" s="716" t="s">
        <v>1012</v>
      </c>
      <c r="C393" s="716" t="s">
        <v>1013</v>
      </c>
      <c r="D393" s="716"/>
    </row>
    <row r="394" spans="1:4" ht="32.25">
      <c r="A394" s="715" t="str">
        <f>IF(ster!$A$1=1,names!B394,IF(ster!$A$1=2,names!C394))</f>
        <v>II kw.
2019*</v>
      </c>
      <c r="B394" s="716" t="s">
        <v>456</v>
      </c>
      <c r="C394" s="716" t="s">
        <v>1008</v>
      </c>
      <c r="D394" s="716"/>
    </row>
    <row r="395" spans="1:4" ht="48">
      <c r="A395" s="715" t="str">
        <f>IF(ster!$A$1=1,names!B395,IF(ster!$A$1=2,names!C395))</f>
        <v>II kw.
2019
przed odpisem**</v>
      </c>
      <c r="B395" s="716" t="s">
        <v>439</v>
      </c>
      <c r="C395" s="716" t="s">
        <v>1015</v>
      </c>
      <c r="D395" s="716"/>
    </row>
    <row r="396" spans="1:4" ht="32.25">
      <c r="A396" s="715" t="str">
        <f>IF(ster!$A$1=1,names!B396,IF(ster!$A$1=2,names!C396))</f>
        <v>III kw.
2019*</v>
      </c>
      <c r="B396" s="716" t="s">
        <v>434</v>
      </c>
      <c r="C396" s="716" t="s">
        <v>1009</v>
      </c>
      <c r="D396" s="716"/>
    </row>
    <row r="397" spans="1:4" ht="48">
      <c r="A397" s="715" t="str">
        <f>IF(ster!$A$1=1,names!B397,IF(ster!$A$1=2,names!C397))</f>
        <v>III kw.
2019
przed odpisem*,**</v>
      </c>
      <c r="B397" s="716" t="s">
        <v>440</v>
      </c>
      <c r="C397" s="716" t="s">
        <v>1016</v>
      </c>
      <c r="D397" s="716"/>
    </row>
    <row r="398" spans="1:4" ht="32.25">
      <c r="A398" s="715" t="str">
        <f>IF(ster!$A$1=1,names!B398,IF(ster!$A$1=2,names!C398))</f>
        <v>IV kw.
2019*</v>
      </c>
      <c r="B398" s="716" t="s">
        <v>435</v>
      </c>
      <c r="C398" s="716" t="s">
        <v>1010</v>
      </c>
      <c r="D398" s="716"/>
    </row>
    <row r="399" spans="1:4" ht="48">
      <c r="A399" s="715" t="str">
        <f>IF(ster!$A$1=1,names!B399,IF(ster!$A$1=2,names!C399))</f>
        <v>IV kw.
2019
przed odpisem*,**</v>
      </c>
      <c r="B399" s="716" t="s">
        <v>441</v>
      </c>
      <c r="C399" s="716" t="s">
        <v>1017</v>
      </c>
      <c r="D399" s="716"/>
    </row>
    <row r="400" spans="1:4" ht="32.25">
      <c r="A400" s="715" t="str">
        <f>IF(ster!$A$1=1,names!B400,IF(ster!$A$1=2,names!C400))</f>
        <v>12 m-cy
2019*</v>
      </c>
      <c r="B400" s="716" t="s">
        <v>436</v>
      </c>
      <c r="C400" s="716" t="s">
        <v>947</v>
      </c>
      <c r="D400" s="716"/>
    </row>
    <row r="401" spans="1:4" ht="48">
      <c r="A401" s="715" t="str">
        <f>IF(ster!$A$1=1,names!B401,IF(ster!$A$1=2,names!C401))</f>
        <v>12 m-cy
2019
przed odpisem*,**</v>
      </c>
      <c r="B401" s="716" t="s">
        <v>442</v>
      </c>
      <c r="C401" s="716" t="s">
        <v>955</v>
      </c>
      <c r="D401" s="716"/>
    </row>
    <row r="402" spans="1:4" ht="32.25">
      <c r="A402" s="715" t="str">
        <f>IF(ster!$A$1=1,names!B402,IF(ster!$A$1=2,names!C402))</f>
        <v>I kw.
2020*</v>
      </c>
      <c r="B402" s="716" t="s">
        <v>437</v>
      </c>
      <c r="C402" s="716" t="s">
        <v>979</v>
      </c>
      <c r="D402" s="716"/>
    </row>
    <row r="403" spans="1:4" ht="48">
      <c r="A403" s="715" t="str">
        <f>IF(ster!$A$1=1,names!B403,IF(ster!$A$1=2,names!C403))</f>
        <v>I kw.
2020
przed odpisem*,**</v>
      </c>
      <c r="B403" s="716" t="s">
        <v>443</v>
      </c>
      <c r="C403" s="716" t="s">
        <v>980</v>
      </c>
      <c r="D403" s="716"/>
    </row>
    <row r="404" spans="1:4" ht="32.25">
      <c r="A404" s="715" t="str">
        <f>IF(ster!$A$1=1,names!B404,IF(ster!$A$1=2,names!C404))</f>
        <v>II kw.
2020</v>
      </c>
      <c r="B404" s="716" t="s">
        <v>405</v>
      </c>
      <c r="C404" s="716" t="s">
        <v>981</v>
      </c>
      <c r="D404" s="716"/>
    </row>
    <row r="405" spans="1:4" ht="48">
      <c r="A405" s="715" t="str">
        <f>IF(ster!$A$1=1,names!B405,IF(ster!$A$1=2,names!C405))</f>
        <v>II kw.
2020
przed odpisem**</v>
      </c>
      <c r="B405" s="716" t="s">
        <v>444</v>
      </c>
      <c r="C405" s="716" t="s">
        <v>982</v>
      </c>
      <c r="D405" s="716"/>
    </row>
    <row r="406" spans="1:4" ht="32.25">
      <c r="A406" s="715" t="str">
        <f>IF(ster!$A$1=1,names!B406,IF(ster!$A$1=2,names!C406))</f>
        <v>III kw.
2020</v>
      </c>
      <c r="B406" s="716" t="s">
        <v>406</v>
      </c>
      <c r="C406" s="716" t="s">
        <v>983</v>
      </c>
      <c r="D406" s="716"/>
    </row>
    <row r="407" spans="1:4" ht="48">
      <c r="A407" s="715" t="str">
        <f>IF(ster!$A$1=1,names!B407,IF(ster!$A$1=2,names!C407))</f>
        <v>III kw.
2020
przed odpisem**</v>
      </c>
      <c r="B407" s="716" t="s">
        <v>445</v>
      </c>
      <c r="C407" s="716" t="s">
        <v>984</v>
      </c>
      <c r="D407" s="716"/>
    </row>
    <row r="408" spans="1:4" ht="32.25">
      <c r="A408" s="715" t="str">
        <f>IF(ster!$A$1=1,names!B408,IF(ster!$A$1=2,names!C408))</f>
        <v>IV kw.
2020</v>
      </c>
      <c r="B408" s="716" t="s">
        <v>407</v>
      </c>
      <c r="C408" s="716" t="s">
        <v>985</v>
      </c>
      <c r="D408" s="716"/>
    </row>
    <row r="409" spans="1:4" ht="48">
      <c r="A409" s="715" t="str">
        <f>IF(ster!$A$1=1,names!B409,IF(ster!$A$1=2,names!C409))</f>
        <v>IV kw.
2020
przed odpisem**</v>
      </c>
      <c r="B409" s="716" t="s">
        <v>446</v>
      </c>
      <c r="C409" s="716" t="s">
        <v>986</v>
      </c>
      <c r="D409" s="716"/>
    </row>
    <row r="410" spans="1:4" ht="32.25">
      <c r="A410" s="715" t="str">
        <f>IF(ster!$A$1=1,names!B410,IF(ster!$A$1=2,names!C410))</f>
        <v>12 m-cy
2020</v>
      </c>
      <c r="B410" s="716" t="s">
        <v>408</v>
      </c>
      <c r="C410" s="716" t="s">
        <v>856</v>
      </c>
      <c r="D410" s="716"/>
    </row>
    <row r="411" spans="1:4" ht="48">
      <c r="A411" s="715" t="str">
        <f>IF(ster!$A$1=1,names!B411,IF(ster!$A$1=2,names!C411))</f>
        <v>12 m-cy
2020
przed odpisem**</v>
      </c>
      <c r="B411" s="716" t="s">
        <v>447</v>
      </c>
      <c r="C411" s="716" t="s">
        <v>956</v>
      </c>
      <c r="D411" s="716"/>
    </row>
    <row r="412" spans="1:4" ht="32.25">
      <c r="A412" s="715" t="str">
        <f>IF(ster!$A$1=1,names!B412,IF(ster!$A$1=2,names!C412))</f>
        <v>I kw.
2021</v>
      </c>
      <c r="B412" s="716" t="s">
        <v>486</v>
      </c>
      <c r="C412" s="716" t="s">
        <v>957</v>
      </c>
      <c r="D412" s="716"/>
    </row>
    <row r="413" spans="1:4" ht="48">
      <c r="A413" s="715" t="str">
        <f>IF(ster!$A$1=1,names!B413,IF(ster!$A$1=2,names!C413))</f>
        <v>I kw.
2021
przed odpisem**</v>
      </c>
      <c r="B413" s="716" t="s">
        <v>491</v>
      </c>
      <c r="C413" s="716" t="s">
        <v>958</v>
      </c>
      <c r="D413" s="716"/>
    </row>
    <row r="414" spans="1:4" ht="32.25">
      <c r="A414" s="715" t="str">
        <f>IF(ster!$A$1=1,names!B414,IF(ster!$A$1=2,names!C414))</f>
        <v>II kw.
2021</v>
      </c>
      <c r="B414" s="716" t="s">
        <v>487</v>
      </c>
      <c r="C414" s="716" t="s">
        <v>959</v>
      </c>
      <c r="D414" s="716"/>
    </row>
    <row r="415" spans="1:4" ht="48">
      <c r="A415" s="715" t="str">
        <f>IF(ster!$A$1=1,names!B415,IF(ster!$A$1=2,names!C415))</f>
        <v>II kw.
2021
przed odpisem**</v>
      </c>
      <c r="B415" s="716" t="s">
        <v>492</v>
      </c>
      <c r="C415" s="716" t="s">
        <v>960</v>
      </c>
      <c r="D415" s="716"/>
    </row>
    <row r="416" spans="1:4" ht="32.25">
      <c r="A416" s="715" t="str">
        <f>IF(ster!$A$1=1,names!B416,IF(ster!$A$1=2,names!C416))</f>
        <v>III kw.
2021</v>
      </c>
      <c r="B416" s="716" t="s">
        <v>488</v>
      </c>
      <c r="C416" s="716" t="s">
        <v>961</v>
      </c>
      <c r="D416" s="716"/>
    </row>
    <row r="417" spans="1:4" ht="48">
      <c r="A417" s="715" t="str">
        <f>IF(ster!$A$1=1,names!B417,IF(ster!$A$1=2,names!C417))</f>
        <v>III kw.
2021
przed odpisem**</v>
      </c>
      <c r="B417" s="716" t="s">
        <v>493</v>
      </c>
      <c r="C417" s="716" t="s">
        <v>962</v>
      </c>
      <c r="D417" s="716"/>
    </row>
    <row r="418" spans="1:4" ht="32.25">
      <c r="A418" s="715" t="str">
        <f>IF(ster!$A$1=1,names!B418,IF(ster!$A$1=2,names!C418))</f>
        <v>IV kw.
2021</v>
      </c>
      <c r="B418" s="716" t="s">
        <v>489</v>
      </c>
      <c r="C418" s="716" t="s">
        <v>963</v>
      </c>
      <c r="D418" s="716"/>
    </row>
    <row r="419" spans="1:4" ht="48">
      <c r="A419" s="715" t="str">
        <f>IF(ster!$A$1=1,names!B419,IF(ster!$A$1=2,names!C419))</f>
        <v>IV kw.
2021
przed odpisem**</v>
      </c>
      <c r="B419" s="716" t="s">
        <v>494</v>
      </c>
      <c r="C419" s="716" t="s">
        <v>964</v>
      </c>
      <c r="D419" s="716"/>
    </row>
    <row r="420" spans="1:4" ht="32.25">
      <c r="A420" s="715" t="str">
        <f>IF(ster!$A$1=1,names!B420,IF(ster!$A$1=2,names!C420))</f>
        <v>12 m-cy
2021</v>
      </c>
      <c r="B420" s="716" t="s">
        <v>490</v>
      </c>
      <c r="C420" s="716" t="s">
        <v>857</v>
      </c>
      <c r="D420" s="716"/>
    </row>
    <row r="421" spans="1:4" ht="48">
      <c r="A421" s="715" t="str">
        <f>IF(ster!$A$1=1,names!B421,IF(ster!$A$1=2,names!C421))</f>
        <v>12 m-cy
2021
przed odpisem**</v>
      </c>
      <c r="B421" s="716" t="s">
        <v>495</v>
      </c>
      <c r="C421" s="716" t="s">
        <v>965</v>
      </c>
      <c r="D421" s="716"/>
    </row>
    <row r="422" spans="1:4" ht="32.25">
      <c r="A422" s="715" t="str">
        <f>IF(ster!$A$1=1,names!B422,IF(ster!$A$1=2,names!C422))</f>
        <v>I kw.
2022</v>
      </c>
      <c r="B422" s="716" t="s">
        <v>514</v>
      </c>
      <c r="C422" s="716" t="s">
        <v>858</v>
      </c>
      <c r="D422" s="716"/>
    </row>
    <row r="423" spans="1:4" ht="48">
      <c r="A423" s="715" t="str">
        <f>IF(ster!$A$1=1,names!B423,IF(ster!$A$1=2,names!C423))</f>
        <v>I kw.
2022
przed odpisem**</v>
      </c>
      <c r="B423" s="716" t="s">
        <v>523</v>
      </c>
      <c r="C423" s="716" t="s">
        <v>966</v>
      </c>
      <c r="D423" s="716"/>
    </row>
    <row r="424" spans="1:4" ht="32.25">
      <c r="A424" s="715" t="str">
        <f>IF(ster!$A$1=1,names!B424,IF(ster!$A$1=2,names!C424))</f>
        <v>II kw.
2022</v>
      </c>
      <c r="B424" s="716" t="s">
        <v>515</v>
      </c>
      <c r="C424" s="716" t="s">
        <v>859</v>
      </c>
      <c r="D424" s="716"/>
    </row>
    <row r="425" spans="1:4" ht="48">
      <c r="A425" s="715" t="str">
        <f>IF(ster!$A$1=1,names!B425,IF(ster!$A$1=2,names!C425))</f>
        <v>II kw.
2022
przed odpisem**</v>
      </c>
      <c r="B425" s="716" t="s">
        <v>524</v>
      </c>
      <c r="C425" s="716" t="s">
        <v>967</v>
      </c>
      <c r="D425" s="716"/>
    </row>
    <row r="426" spans="1:4" ht="32.25">
      <c r="A426" s="715" t="str">
        <f>IF(ster!$A$1=1,names!B426,IF(ster!$A$1=2,names!C426))</f>
        <v>III kw.
2022</v>
      </c>
      <c r="B426" s="716" t="s">
        <v>516</v>
      </c>
      <c r="C426" s="716" t="s">
        <v>860</v>
      </c>
      <c r="D426" s="716"/>
    </row>
    <row r="427" spans="1:4" ht="48">
      <c r="A427" s="715" t="str">
        <f>IF(ster!$A$1=1,names!B427,IF(ster!$A$1=2,names!C427))</f>
        <v>III kw.
2022
przed odpisem**</v>
      </c>
      <c r="B427" s="716" t="s">
        <v>525</v>
      </c>
      <c r="C427" s="716" t="s">
        <v>968</v>
      </c>
      <c r="D427" s="716"/>
    </row>
    <row r="428" spans="1:4" ht="32.25">
      <c r="A428" s="715" t="str">
        <f>IF(ster!$A$1=1,names!B428,IF(ster!$A$1=2,names!C428))</f>
        <v>IV kw.
2022</v>
      </c>
      <c r="B428" s="716" t="s">
        <v>517</v>
      </c>
      <c r="C428" s="716" t="s">
        <v>861</v>
      </c>
      <c r="D428" s="716"/>
    </row>
    <row r="429" spans="1:4" ht="48">
      <c r="A429" s="715" t="str">
        <f>IF(ster!$A$1=1,names!B429,IF(ster!$A$1=2,names!C429))</f>
        <v>IV kw.
2022
przed odpisem**</v>
      </c>
      <c r="B429" s="716" t="s">
        <v>526</v>
      </c>
      <c r="C429" s="716" t="s">
        <v>969</v>
      </c>
      <c r="D429" s="716"/>
    </row>
    <row r="430" spans="1:4" ht="32.25">
      <c r="A430" s="715" t="str">
        <f>IF(ster!$A$1=1,names!B430,IF(ster!$A$1=2,names!C430))</f>
        <v>12 m-cy
2022</v>
      </c>
      <c r="B430" s="716" t="s">
        <v>518</v>
      </c>
      <c r="C430" s="716" t="s">
        <v>862</v>
      </c>
      <c r="D430" s="716"/>
    </row>
    <row r="431" spans="1:4" ht="48">
      <c r="A431" s="715" t="str">
        <f>IF(ster!$A$1=1,names!B431,IF(ster!$A$1=2,names!C431))</f>
        <v>12 m-cy
2022
przed odpisem**</v>
      </c>
      <c r="B431" s="716" t="s">
        <v>527</v>
      </c>
      <c r="C431" s="716" t="s">
        <v>970</v>
      </c>
      <c r="D431" s="716"/>
    </row>
    <row r="432" spans="1:4" ht="32.25">
      <c r="A432" s="715" t="str">
        <f>IF(ster!$A$1=1,names!B432,IF(ster!$A$1=2,names!C432))</f>
        <v>I kw.
2023</v>
      </c>
      <c r="B432" s="716" t="s">
        <v>666</v>
      </c>
      <c r="C432" s="716" t="s">
        <v>863</v>
      </c>
      <c r="D432" s="716"/>
    </row>
    <row r="433" spans="1:4" ht="48">
      <c r="A433" s="715" t="str">
        <f>IF(ster!$A$1=1,names!B433,IF(ster!$A$1=2,names!C433))</f>
        <v>I kw.
2023
przed odpisem**</v>
      </c>
      <c r="B433" s="716" t="s">
        <v>671</v>
      </c>
      <c r="C433" s="716" t="s">
        <v>971</v>
      </c>
      <c r="D433" s="716"/>
    </row>
    <row r="434" spans="1:4" ht="32.25">
      <c r="A434" s="715" t="str">
        <f>IF(ster!$A$1=1,names!B434,IF(ster!$A$1=2,names!C434))</f>
        <v>II kw.
2023</v>
      </c>
      <c r="B434" s="716" t="s">
        <v>667</v>
      </c>
      <c r="C434" s="716" t="s">
        <v>864</v>
      </c>
      <c r="D434" s="716"/>
    </row>
    <row r="435" spans="1:4" ht="48">
      <c r="A435" s="715" t="str">
        <f>IF(ster!$A$1=1,names!B435,IF(ster!$A$1=2,names!C435))</f>
        <v>II kw.
2023
przed odpisem**</v>
      </c>
      <c r="B435" s="716" t="s">
        <v>672</v>
      </c>
      <c r="C435" s="716" t="s">
        <v>972</v>
      </c>
      <c r="D435" s="716"/>
    </row>
    <row r="436" spans="1:4" ht="32.25">
      <c r="A436" s="715" t="str">
        <f>IF(ster!$A$1=1,names!B436,IF(ster!$A$1=2,names!C436))</f>
        <v>III kw.
2023</v>
      </c>
      <c r="B436" s="716" t="s">
        <v>668</v>
      </c>
      <c r="C436" s="716" t="s">
        <v>865</v>
      </c>
      <c r="D436" s="716"/>
    </row>
    <row r="437" spans="1:4" ht="48">
      <c r="A437" s="715" t="str">
        <f>IF(ster!$A$1=1,names!B437,IF(ster!$A$1=2,names!C437))</f>
        <v>III kw.
2023
przed odpisem**</v>
      </c>
      <c r="B437" s="716" t="s">
        <v>673</v>
      </c>
      <c r="C437" s="716" t="s">
        <v>973</v>
      </c>
      <c r="D437" s="716"/>
    </row>
    <row r="438" spans="1:4" ht="32.25">
      <c r="A438" s="715" t="str">
        <f>IF(ster!$A$1=1,names!B438,IF(ster!$A$1=2,names!C438))</f>
        <v>IV kw.
2023</v>
      </c>
      <c r="B438" s="716" t="s">
        <v>669</v>
      </c>
      <c r="C438" s="716" t="s">
        <v>866</v>
      </c>
      <c r="D438" s="716"/>
    </row>
    <row r="439" spans="1:4" ht="48">
      <c r="A439" s="715" t="str">
        <f>IF(ster!$A$1=1,names!B439,IF(ster!$A$1=2,names!C439))</f>
        <v>IV kw.
2023
przed odpisem**</v>
      </c>
      <c r="B439" s="716" t="s">
        <v>674</v>
      </c>
      <c r="C439" s="716" t="s">
        <v>974</v>
      </c>
      <c r="D439" s="716"/>
    </row>
    <row r="440" spans="1:4" ht="32.25">
      <c r="A440" s="715" t="str">
        <f>IF(ster!$A$1=1,names!B440,IF(ster!$A$1=2,names!C440))</f>
        <v>12 m-cy
2023</v>
      </c>
      <c r="B440" s="716" t="s">
        <v>670</v>
      </c>
      <c r="C440" s="716" t="s">
        <v>867</v>
      </c>
      <c r="D440" s="716"/>
    </row>
    <row r="441" spans="1:4" ht="48">
      <c r="A441" s="715" t="str">
        <f>IF(ster!$A$1=1,names!B441,IF(ster!$A$1=2,names!C441))</f>
        <v>12 m-cy
2023
przed odpisem**</v>
      </c>
      <c r="B441" s="716" t="s">
        <v>675</v>
      </c>
      <c r="C441" s="716" t="s">
        <v>975</v>
      </c>
      <c r="D441" s="716"/>
    </row>
    <row r="442" spans="1:4" ht="32.25">
      <c r="A442" s="715" t="str">
        <f>IF(ster!$A$1=1,names!B442,IF(ster!$A$1=2,names!C442))</f>
        <v>I kw.
2024</v>
      </c>
      <c r="B442" s="716" t="s">
        <v>756</v>
      </c>
      <c r="C442" s="716" t="s">
        <v>868</v>
      </c>
      <c r="D442" s="716"/>
    </row>
    <row r="443" spans="1:4" ht="48">
      <c r="A443" s="715" t="str">
        <f>IF(ster!$A$1=1,names!B443,IF(ster!$A$1=2,names!C443))</f>
        <v>I kw.
2024
przed odpisem**</v>
      </c>
      <c r="B443" s="716" t="s">
        <v>761</v>
      </c>
      <c r="C443" s="716" t="s">
        <v>976</v>
      </c>
      <c r="D443" s="716"/>
    </row>
    <row r="444" spans="1:4" ht="32.25">
      <c r="A444" s="715" t="str">
        <f>IF(ster!$A$1=1,names!B444,IF(ster!$A$1=2,names!C444))</f>
        <v>II kw.
2024</v>
      </c>
      <c r="B444" s="716" t="s">
        <v>757</v>
      </c>
      <c r="C444" s="716" t="s">
        <v>869</v>
      </c>
      <c r="D444" s="716"/>
    </row>
    <row r="445" spans="1:4" ht="48">
      <c r="A445" s="715" t="str">
        <f>IF(ster!$A$1=1,names!B445,IF(ster!$A$1=2,names!C445))</f>
        <v>II kw.
2024
przed odpisem**</v>
      </c>
      <c r="B445" s="716" t="s">
        <v>762</v>
      </c>
      <c r="C445" s="716" t="s">
        <v>977</v>
      </c>
      <c r="D445" s="716"/>
    </row>
    <row r="446" spans="1:4" ht="32.25">
      <c r="A446" s="715" t="str">
        <f>IF(ster!$A$1=1,names!B446,IF(ster!$A$1=2,names!C446))</f>
        <v>III kw.
2024</v>
      </c>
      <c r="B446" s="716" t="s">
        <v>758</v>
      </c>
      <c r="C446" s="716" t="s">
        <v>870</v>
      </c>
      <c r="D446" s="716"/>
    </row>
    <row r="447" spans="1:4" ht="48">
      <c r="A447" s="715" t="str">
        <f>IF(ster!$A$1=1,names!B447,IF(ster!$A$1=2,names!C447))</f>
        <v>III kw.
2024
przed odpisem**</v>
      </c>
      <c r="B447" s="716" t="s">
        <v>763</v>
      </c>
      <c r="C447" s="716" t="s">
        <v>978</v>
      </c>
      <c r="D447" s="716"/>
    </row>
    <row r="448" spans="1:4" ht="32.25">
      <c r="A448" s="715" t="str">
        <f>IF(ster!$A$1=1,names!B448,IF(ster!$A$1=2,names!C448))</f>
        <v>IV kw.
2024</v>
      </c>
      <c r="B448" s="716" t="s">
        <v>759</v>
      </c>
      <c r="C448" s="716" t="s">
        <v>871</v>
      </c>
      <c r="D448" s="716"/>
    </row>
    <row r="449" spans="1:4" ht="48">
      <c r="A449" s="715" t="str">
        <f>IF(ster!$A$1=1,names!B449,IF(ster!$A$1=2,names!C449))</f>
        <v>IV kw.
2024
przed odpisem**</v>
      </c>
      <c r="B449" s="716" t="s">
        <v>764</v>
      </c>
      <c r="C449" s="716" t="s">
        <v>987</v>
      </c>
      <c r="D449" s="716"/>
    </row>
    <row r="450" spans="1:4" ht="32.25">
      <c r="A450" s="715" t="str">
        <f>IF(ster!$A$1=1,names!B450,IF(ster!$A$1=2,names!C450))</f>
        <v>12 m-cy
2024</v>
      </c>
      <c r="B450" s="716" t="s">
        <v>760</v>
      </c>
      <c r="C450" s="716" t="s">
        <v>872</v>
      </c>
      <c r="D450" s="716"/>
    </row>
    <row r="451" spans="1:4" ht="48">
      <c r="A451" s="715" t="str">
        <f>IF(ster!$A$1=1,names!B451,IF(ster!$A$1=2,names!C451))</f>
        <v>12 m-cy
2024
przed odpisem**</v>
      </c>
      <c r="B451" s="716" t="s">
        <v>765</v>
      </c>
      <c r="C451" s="716" t="s">
        <v>988</v>
      </c>
      <c r="D451" s="716"/>
    </row>
    <row r="452" spans="1:4">
      <c r="A452" s="715">
        <f>IF(ster!$A$1=1,names!B452,IF(ster!$A$1=2,names!C452))</f>
        <v>0</v>
      </c>
      <c r="B452" s="716"/>
      <c r="C452" s="716"/>
      <c r="D452" s="716"/>
    </row>
    <row r="453" spans="1:4">
      <c r="A453" s="715" t="str">
        <f>IF(ster!$A$1=1,names!B453,IF(ster!$A$1=2,names!C453))</f>
        <v>Segment Rafineria</v>
      </c>
      <c r="B453" s="717" t="s">
        <v>422</v>
      </c>
      <c r="C453" s="716" t="s">
        <v>989</v>
      </c>
      <c r="D453" s="716"/>
    </row>
    <row r="454" spans="1:4">
      <c r="A454" s="715">
        <f>IF(ster!$A$1=1,names!B454,IF(ster!$A$1=2,names!C454))</f>
        <v>0</v>
      </c>
      <c r="B454" s="716"/>
      <c r="C454" s="716"/>
      <c r="D454" s="716"/>
    </row>
    <row r="455" spans="1:4" ht="32.25">
      <c r="A455" s="715" t="str">
        <f>IF(ster!$A$1=1,names!B455,IF(ster!$A$1=2,names!C455))</f>
        <v>Wyszczególnienie, 
mln PLN</v>
      </c>
      <c r="B455" s="716" t="s">
        <v>161</v>
      </c>
      <c r="C455" s="716" t="s">
        <v>948</v>
      </c>
      <c r="D455" s="716"/>
    </row>
    <row r="456" spans="1:4">
      <c r="A456" s="715">
        <f>IF(ster!$A$1=1,names!B456,IF(ster!$A$1=2,names!C456))</f>
        <v>0</v>
      </c>
      <c r="B456" s="716"/>
      <c r="C456" s="716"/>
      <c r="D456" s="716"/>
    </row>
    <row r="457" spans="1:4">
      <c r="A457" s="715" t="str">
        <f>IF(ster!$A$1=1,names!B457,IF(ster!$A$1=2,names!C457))</f>
        <v>Przychody ze sprzedaży</v>
      </c>
      <c r="B457" s="716" t="s">
        <v>57</v>
      </c>
      <c r="C457" s="716" t="s">
        <v>903</v>
      </c>
      <c r="D457" s="716"/>
    </row>
    <row r="458" spans="1:4">
      <c r="A458" s="715" t="str">
        <f>IF(ster!$A$1=1,names!B458,IF(ster!$A$1=2,names!C458))</f>
        <v>Sprzedaż zewnętrzna</v>
      </c>
      <c r="B458" s="716" t="s">
        <v>33</v>
      </c>
      <c r="C458" s="716" t="s">
        <v>990</v>
      </c>
      <c r="D458" s="716"/>
    </row>
    <row r="459" spans="1:4">
      <c r="A459" s="715" t="str">
        <f>IF(ster!$A$1=1,names!B459,IF(ster!$A$1=2,names!C459))</f>
        <v>Sprzedaż między segmentami</v>
      </c>
      <c r="B459" s="716" t="s">
        <v>34</v>
      </c>
      <c r="C459" s="716" t="s">
        <v>991</v>
      </c>
      <c r="D459" s="716"/>
    </row>
    <row r="460" spans="1:4">
      <c r="A460" s="715" t="str">
        <f>IF(ster!$A$1=1,names!B460,IF(ster!$A$1=2,names!C460))</f>
        <v>Koszty operacyjne ogółem</v>
      </c>
      <c r="B460" s="716" t="s">
        <v>316</v>
      </c>
      <c r="C460" s="716" t="s">
        <v>992</v>
      </c>
      <c r="D460" s="716"/>
    </row>
    <row r="461" spans="1:4">
      <c r="A461" s="715" t="str">
        <f>IF(ster!$A$1=1,names!B461,IF(ster!$A$1=2,names!C461))</f>
        <v>Pozostałe przychody operacyjne</v>
      </c>
      <c r="B461" s="716" t="s">
        <v>35</v>
      </c>
      <c r="C461" s="716" t="s">
        <v>993</v>
      </c>
      <c r="D461" s="716"/>
    </row>
    <row r="462" spans="1:4">
      <c r="A462" s="715" t="str">
        <f>IF(ster!$A$1=1,names!B462,IF(ster!$A$1=2,names!C462))</f>
        <v>Pozostałe koszty operacyjne</v>
      </c>
      <c r="B462" s="716" t="s">
        <v>39</v>
      </c>
      <c r="C462" s="716" t="s">
        <v>994</v>
      </c>
      <c r="D462" s="716"/>
    </row>
    <row r="463" spans="1:4">
      <c r="A463" s="715" t="str">
        <f>IF(ster!$A$1=1,names!B463,IF(ster!$A$1=2,names!C463))</f>
        <v>Pozostałe przychody/koszty operacyjne netto</v>
      </c>
      <c r="B463" s="716" t="s">
        <v>20</v>
      </c>
      <c r="C463" s="716" t="s">
        <v>995</v>
      </c>
      <c r="D463" s="716"/>
    </row>
    <row r="464" spans="1:4" ht="33" customHeight="1">
      <c r="A464" s="715" t="str">
        <f>IF(ster!$A$1=1,names!B464,IF(ster!$A$1=2,names!C464))</f>
        <v>(Strata)/odwrócenie straty z tytułu utraty wartości należności handlowych (w tym odsetek od należności handlowych)</v>
      </c>
      <c r="B464" s="716" t="s">
        <v>1823</v>
      </c>
      <c r="C464" s="716" t="s">
        <v>1824</v>
      </c>
      <c r="D464" s="716"/>
    </row>
    <row r="465" spans="1:4" ht="32.25">
      <c r="A465" s="715" t="str">
        <f>IF(ster!$A$1=1,names!B465,IF(ster!$A$1=2,names!C465))</f>
        <v>Udział w wyniku finansowym jednostek wycenianych metodą praw własności</v>
      </c>
      <c r="B465" s="716" t="s">
        <v>24</v>
      </c>
      <c r="C465" s="716" t="s">
        <v>996</v>
      </c>
      <c r="D465" s="716"/>
    </row>
    <row r="466" spans="1:4" ht="48">
      <c r="A466" s="715" t="str">
        <f>IF(ster!$A$1=1,names!B466,IF(ster!$A$1=2,names!C466))</f>
        <v>Zysk/(Strata) operacyjna wg LIFO powiększona o amortyzację 
(EBITDA LIFO) przed odpisami aktualizującymi</v>
      </c>
      <c r="B466" s="716" t="s">
        <v>260</v>
      </c>
      <c r="C466" s="716" t="s">
        <v>997</v>
      </c>
      <c r="D466" s="716"/>
    </row>
    <row r="467" spans="1:4" ht="32.25">
      <c r="A467" s="715" t="str">
        <f>IF(ster!$A$1=1,names!B467,IF(ster!$A$1=2,names!C467))</f>
        <v>Zysk/(Strata) operacyjna wg LIFO powiększona o amortyzację 
(EBITDA LIFO)</v>
      </c>
      <c r="B467" s="716" t="s">
        <v>259</v>
      </c>
      <c r="C467" s="716" t="s">
        <v>998</v>
      </c>
      <c r="D467" s="716"/>
    </row>
    <row r="468" spans="1:4" ht="30.75" customHeight="1">
      <c r="A468" s="715" t="str">
        <f>IF(ster!$A$1=1,names!B468,IF(ster!$A$1=2,names!C468))</f>
        <v>Zysk/(Strata) operacyjna powiększona o amortyzację (EBITDA)</v>
      </c>
      <c r="B468" s="716" t="s">
        <v>119</v>
      </c>
      <c r="C468" s="716" t="s">
        <v>999</v>
      </c>
      <c r="D468" s="716"/>
    </row>
    <row r="469" spans="1:4" ht="33.75" customHeight="1">
      <c r="A469" s="715" t="str">
        <f>IF(ster!$A$1=1,names!B469,IF(ster!$A$1=2,names!C469))</f>
        <v>Zysk/(Strata) operacyjna wg LIFO (EBIT LIFO) przed odpisami aktualizującymi</v>
      </c>
      <c r="B469" s="716" t="s">
        <v>255</v>
      </c>
      <c r="C469" s="716" t="s">
        <v>1000</v>
      </c>
      <c r="D469" s="716"/>
    </row>
    <row r="470" spans="1:4">
      <c r="A470" s="715" t="str">
        <f>IF(ster!$A$1=1,names!B470,IF(ster!$A$1=2,names!C470))</f>
        <v>Zysk/(Strata) operacyjna wg LIFO (EBIT LIFO)</v>
      </c>
      <c r="B470" s="716" t="s">
        <v>256</v>
      </c>
      <c r="C470" s="716" t="s">
        <v>1001</v>
      </c>
      <c r="D470" s="716"/>
    </row>
    <row r="471" spans="1:4">
      <c r="A471" s="715" t="str">
        <f>IF(ster!$A$1=1,names!B471,IF(ster!$A$1=2,names!C471))</f>
        <v>Zysk/(Strata) operacyjna (EBIT)</v>
      </c>
      <c r="B471" s="716" t="s">
        <v>257</v>
      </c>
      <c r="C471" s="716" t="s">
        <v>1002</v>
      </c>
      <c r="D471" s="716"/>
    </row>
    <row r="472" spans="1:4">
      <c r="A472" s="715" t="str">
        <f>IF(ster!$A$1=1,names!B472,IF(ster!$A$1=2,names!C472))</f>
        <v>Zwiększenie aktywów trwałych</v>
      </c>
      <c r="B472" s="716" t="s">
        <v>438</v>
      </c>
      <c r="C472" s="716" t="s">
        <v>1003</v>
      </c>
      <c r="D472" s="716"/>
    </row>
    <row r="473" spans="1:4">
      <c r="A473" s="715" t="str">
        <f>IF(ster!$A$1=1,names!B473,IF(ster!$A$1=2,names!C473))</f>
        <v>Sprzedaż produktów (tys. ton)</v>
      </c>
      <c r="B473" s="716" t="s">
        <v>100</v>
      </c>
      <c r="C473" s="716" t="s">
        <v>1004</v>
      </c>
      <c r="D473" s="716"/>
    </row>
    <row r="474" spans="1:4">
      <c r="A474" s="715">
        <f>IF(ster!$A$1=1,names!B474,IF(ster!$A$1=2,names!C474))</f>
        <v>0</v>
      </c>
      <c r="B474" s="716"/>
      <c r="C474" s="716"/>
      <c r="D474" s="716"/>
    </row>
    <row r="475" spans="1:4">
      <c r="A475" s="715" t="str">
        <f>IF(ster!$A$1=1,names!B475,IF(ster!$A$1=2,names!C475))</f>
        <v>*) Dane przekształcone.</v>
      </c>
      <c r="B475" s="716" t="s">
        <v>457</v>
      </c>
      <c r="C475" s="716" t="s">
        <v>1005</v>
      </c>
      <c r="D475" s="716"/>
    </row>
    <row r="476" spans="1:4" ht="32.25">
      <c r="A476" s="715" t="str">
        <f>IF(ster!$A$1=1,names!B476,IF(ster!$A$1=2,names!C476))</f>
        <v>I kw.
2021*</v>
      </c>
      <c r="B476" s="716" t="s">
        <v>506</v>
      </c>
      <c r="C476" s="716" t="s">
        <v>1011</v>
      </c>
      <c r="D476" s="716"/>
    </row>
    <row r="477" spans="1:4" ht="32.25">
      <c r="A477" s="715" t="str">
        <f>IF(ster!$A$1=1,names!B477,IF(ster!$A$1=2,names!C477))</f>
        <v>II kw.
2021*</v>
      </c>
      <c r="B477" s="716" t="s">
        <v>595</v>
      </c>
      <c r="C477" s="716" t="s">
        <v>959</v>
      </c>
      <c r="D477" s="716"/>
    </row>
    <row r="478" spans="1:4">
      <c r="A478" s="715" t="str">
        <f>IF(ster!$A$1=1,names!B478,IF(ster!$A$1=2,names!C478))</f>
        <v>Segment Petrochemia</v>
      </c>
      <c r="B478" s="717" t="s">
        <v>9</v>
      </c>
      <c r="C478" s="716" t="s">
        <v>1006</v>
      </c>
      <c r="D478" s="716"/>
    </row>
    <row r="479" spans="1:4">
      <c r="A479" s="715">
        <f>IF(ster!$A$1=1,names!B479,IF(ster!$A$1=2,names!C479))</f>
        <v>0</v>
      </c>
      <c r="B479" s="716"/>
      <c r="C479" s="716"/>
      <c r="D479" s="716"/>
    </row>
    <row r="480" spans="1:4">
      <c r="A480" s="715" t="str">
        <f>IF(ster!$A$1=1,names!B480,IF(ster!$A$1=2,names!C480))</f>
        <v>Segment Energetyka</v>
      </c>
      <c r="B480" s="717" t="s">
        <v>423</v>
      </c>
      <c r="C480" s="716" t="s">
        <v>1286</v>
      </c>
      <c r="D480" s="716"/>
    </row>
    <row r="481" spans="1:4" ht="32.25">
      <c r="A481" s="715" t="str">
        <f>IF(ster!$A$1=1,names!B481,IF(ster!$A$1=2,names!C481))</f>
        <v>II kw.
2020*</v>
      </c>
      <c r="B481" s="716" t="s">
        <v>507</v>
      </c>
      <c r="C481" s="716" t="s">
        <v>1019</v>
      </c>
      <c r="D481" s="716"/>
    </row>
    <row r="482" spans="1:4">
      <c r="A482" s="715" t="str">
        <f>IF(ster!$A$1=1,names!B482,IF(ster!$A$1=2,names!C482))</f>
        <v>Pozostałe przychody operacyjne**</v>
      </c>
      <c r="B482" s="716" t="s">
        <v>1575</v>
      </c>
      <c r="C482" s="716" t="s">
        <v>1073</v>
      </c>
      <c r="D482" s="716"/>
    </row>
    <row r="483" spans="1:4" ht="32.25">
      <c r="A483" s="715" t="str">
        <f>IF(ster!$A$1=1,names!B483,IF(ster!$A$1=2,names!C483))</f>
        <v>Zysk/(Strata) operacyjna powiększona o amortyzację (EBITDA) 
przed odpisami aktualizującymi**</v>
      </c>
      <c r="B483" s="716" t="s">
        <v>450</v>
      </c>
      <c r="C483" s="716" t="s">
        <v>1020</v>
      </c>
      <c r="D483" s="716"/>
    </row>
    <row r="484" spans="1:4" ht="32.25">
      <c r="A484" s="715" t="str">
        <f>IF(ster!$A$1=1,names!B484,IF(ster!$A$1=2,names!C484))</f>
        <v>Zysk/(Strata) operacyjna powiększona o amortyzację (EBITDA)**</v>
      </c>
      <c r="B484" s="716" t="s">
        <v>451</v>
      </c>
      <c r="C484" s="716" t="s">
        <v>1021</v>
      </c>
      <c r="D484" s="716"/>
    </row>
    <row r="485" spans="1:4" ht="32.25">
      <c r="A485" s="715" t="str">
        <f>IF(ster!$A$1=1,names!B485,IF(ster!$A$1=2,names!C485))</f>
        <v>Zysk/(Strata) operacyjna (EBIT) przed odpisami aktualizującymi**</v>
      </c>
      <c r="B485" s="716" t="s">
        <v>452</v>
      </c>
      <c r="C485" s="716" t="s">
        <v>1022</v>
      </c>
      <c r="D485" s="716"/>
    </row>
    <row r="486" spans="1:4">
      <c r="A486" s="715" t="str">
        <f>IF(ster!$A$1=1,names!B486,IF(ster!$A$1=2,names!C486))</f>
        <v>Zysk/(Strata) operacyjna (EBIT)**</v>
      </c>
      <c r="B486" s="716" t="s">
        <v>453</v>
      </c>
      <c r="C486" s="716" t="s">
        <v>1023</v>
      </c>
      <c r="D486" s="716"/>
    </row>
    <row r="487" spans="1:4">
      <c r="A487" s="715" t="str">
        <f>IF(ster!$A$1=1,names!B487,IF(ster!$A$1=2,names!C487))</f>
        <v>Zwiększenie aktywów trwałych</v>
      </c>
      <c r="B487" s="716" t="s">
        <v>438</v>
      </c>
      <c r="C487" s="716" t="s">
        <v>1003</v>
      </c>
      <c r="D487" s="716"/>
    </row>
    <row r="488" spans="1:4" ht="63.75">
      <c r="A488" s="715" t="str">
        <f>IF(ster!$A$1=1,names!B488,IF(ster!$A$1=2,names!C488))</f>
        <v>**) W okresie 3 miesięcy zakończonym 30 czerwca 2020 roku oraz w okresie 12 miesięcy zakończonym 31 grudnia 2020 roku z uwzględnieniem rozpoznania zysku z tytułu okazyjnego nabycia 80% akcji Grupy ENERGA w wysokości 4 062 mln PLN.</v>
      </c>
      <c r="B488" s="716" t="s">
        <v>485</v>
      </c>
      <c r="C488" s="716" t="s">
        <v>1024</v>
      </c>
      <c r="D488" s="716"/>
    </row>
    <row r="489" spans="1:4">
      <c r="A489" s="715">
        <f>IF(ster!$A$1=1,names!B489,IF(ster!$A$1=2,names!C489))</f>
        <v>0</v>
      </c>
      <c r="B489" s="716"/>
      <c r="C489" s="716"/>
      <c r="D489" s="716"/>
    </row>
    <row r="490" spans="1:4">
      <c r="A490" s="715" t="str">
        <f>IF(ster!$A$1=1,names!B490,IF(ster!$A$1=2,names!C490))</f>
        <v>Segment Detal</v>
      </c>
      <c r="B490" s="717" t="s">
        <v>8</v>
      </c>
      <c r="C490" s="716" t="s">
        <v>1238</v>
      </c>
      <c r="D490" s="716"/>
    </row>
    <row r="491" spans="1:4" ht="32.25">
      <c r="A491" s="715" t="str">
        <f>IF(ster!$A$1=1,names!B491,IF(ster!$A$1=2,names!C491))</f>
        <v>Zysk/(Strata) operacyjna powiększona o amortyzację (EBITDA) przed odpisami aktualizującymi</v>
      </c>
      <c r="B491" s="716" t="s">
        <v>148</v>
      </c>
      <c r="C491" s="716" t="s">
        <v>1025</v>
      </c>
      <c r="D491" s="716"/>
    </row>
    <row r="492" spans="1:4" ht="32.25">
      <c r="A492" s="715" t="str">
        <f>IF(ster!$A$1=1,names!B492,IF(ster!$A$1=2,names!C492))</f>
        <v>Zysk operacyjny powiększony o amortyzację (EBITDA)</v>
      </c>
      <c r="B492" s="716" t="s">
        <v>171</v>
      </c>
      <c r="C492" s="716" t="s">
        <v>999</v>
      </c>
      <c r="D492" s="716"/>
    </row>
    <row r="493" spans="1:4" ht="32.25">
      <c r="A493" s="715" t="str">
        <f>IF(ster!$A$1=1,names!B493,IF(ster!$A$1=2,names!C493))</f>
        <v>Zysk/(Strata) operacyjna (EBIT) przed odpisami aktualizującymi</v>
      </c>
      <c r="B493" s="716" t="s">
        <v>258</v>
      </c>
      <c r="C493" s="716" t="s">
        <v>1000</v>
      </c>
      <c r="D493" s="716"/>
    </row>
    <row r="494" spans="1:4">
      <c r="A494" s="715" t="str">
        <f>IF(ster!$A$1=1,names!B494,IF(ster!$A$1=2,names!C494))</f>
        <v>Zysk/(Strata) operacyjna (EBIT)</v>
      </c>
      <c r="B494" s="716" t="s">
        <v>257</v>
      </c>
      <c r="C494" s="716" t="s">
        <v>1002</v>
      </c>
      <c r="D494" s="716"/>
    </row>
    <row r="495" spans="1:4">
      <c r="A495" s="715" t="str">
        <f>IF(ster!$A$1=1,names!B495,IF(ster!$A$1=2,names!C495))</f>
        <v>Zwiększenie aktywów trwałych **</v>
      </c>
      <c r="B495" s="716" t="s">
        <v>390</v>
      </c>
      <c r="C495" s="716" t="s">
        <v>1026</v>
      </c>
      <c r="D495" s="716"/>
    </row>
    <row r="496" spans="1:4">
      <c r="A496" s="715" t="str">
        <f>IF(ster!$A$1=1,names!B496,IF(ster!$A$1=2,names!C496))</f>
        <v>Sprzedaż produktów (tys. ton)</v>
      </c>
      <c r="B496" s="716" t="s">
        <v>100</v>
      </c>
      <c r="C496" s="716" t="s">
        <v>1004</v>
      </c>
      <c r="D496" s="716"/>
    </row>
    <row r="497" spans="1:4" ht="63.75">
      <c r="A497" s="715" t="str">
        <f>IF(ster!$A$1=1,names!B497,IF(ster!$A$1=2,names!C497))</f>
        <v>*) Dane przekształcone – zmiana metody konsolidacji spółek Basell ORLEN Polyolefines Sp. z o.o. i Płocki Park Przemysłowo-Technologiczny S.A. zgodnie z MSSF 11.</v>
      </c>
      <c r="B497" s="716" t="s">
        <v>197</v>
      </c>
      <c r="C497" s="716" t="s">
        <v>1027</v>
      </c>
      <c r="D497" s="716"/>
    </row>
    <row r="498" spans="1:4" ht="63.75">
      <c r="A498" s="715" t="str">
        <f>IF(ster!$A$1=1,names!B498,IF(ster!$A$1=2,names!C498))</f>
        <v>**) Zgodnie z MSSF 16 Leasing w pozycji zwiększenie aktywów trwałych ujęto wartość praw do użytkowania - w celu zachowania spójności zaktualizowano również dane za I kwartał 2019.</v>
      </c>
      <c r="B498" s="716" t="s">
        <v>389</v>
      </c>
      <c r="C498" s="716" t="s">
        <v>1028</v>
      </c>
      <c r="D498" s="716"/>
    </row>
    <row r="499" spans="1:4" ht="32.25">
      <c r="A499" s="715" t="str">
        <f>IF(ster!$A$1=1,names!B499,IF(ster!$A$1=2,names!C499))</f>
        <v>I kw.
2013 *</v>
      </c>
      <c r="B499" s="716" t="s">
        <v>198</v>
      </c>
      <c r="C499" s="716" t="s">
        <v>1030</v>
      </c>
      <c r="D499" s="716"/>
    </row>
    <row r="500" spans="1:4" ht="32.25">
      <c r="A500" s="715" t="str">
        <f>IF(ster!$A$1=1,names!B500,IF(ster!$A$1=2,names!C500))</f>
        <v>II kw.
2013 *</v>
      </c>
      <c r="B500" s="716" t="s">
        <v>199</v>
      </c>
      <c r="C500" s="716" t="s">
        <v>1031</v>
      </c>
      <c r="D500" s="716"/>
    </row>
    <row r="501" spans="1:4" ht="32.25">
      <c r="A501" s="715" t="str">
        <f>IF(ster!$A$1=1,names!B501,IF(ster!$A$1=2,names!C501))</f>
        <v>III kw.
2013 *</v>
      </c>
      <c r="B501" s="716" t="s">
        <v>200</v>
      </c>
      <c r="C501" s="716" t="s">
        <v>1032</v>
      </c>
      <c r="D501" s="716"/>
    </row>
    <row r="502" spans="1:4" ht="32.25">
      <c r="A502" s="715" t="str">
        <f>IF(ster!$A$1=1,names!B502,IF(ster!$A$1=2,names!C502))</f>
        <v>IV kw.
2013 *</v>
      </c>
      <c r="B502" s="716" t="s">
        <v>201</v>
      </c>
      <c r="C502" s="716" t="s">
        <v>1033</v>
      </c>
      <c r="D502" s="716"/>
    </row>
    <row r="503" spans="1:4" ht="32.25">
      <c r="A503" s="715" t="str">
        <f>IF(ster!$A$1=1,names!B503,IF(ster!$A$1=2,names!C503))</f>
        <v>12 m-cy
2013 *</v>
      </c>
      <c r="B503" s="716" t="s">
        <v>202</v>
      </c>
      <c r="C503" s="716" t="s">
        <v>1034</v>
      </c>
      <c r="D503" s="716"/>
    </row>
    <row r="504" spans="1:4" ht="32.25">
      <c r="A504" s="715" t="str">
        <f>IF(ster!$A$1=1,names!B504,IF(ster!$A$1=2,names!C504))</f>
        <v>I kw.
2014</v>
      </c>
      <c r="B504" s="716" t="s">
        <v>162</v>
      </c>
      <c r="C504" s="716" t="s">
        <v>1035</v>
      </c>
      <c r="D504" s="716"/>
    </row>
    <row r="505" spans="1:4" ht="32.25">
      <c r="A505" s="715" t="str">
        <f>IF(ster!$A$1=1,names!B505,IF(ster!$A$1=2,names!C505))</f>
        <v>II kw.
2014</v>
      </c>
      <c r="B505" s="716" t="s">
        <v>164</v>
      </c>
      <c r="C505" s="716" t="s">
        <v>1036</v>
      </c>
      <c r="D505" s="716"/>
    </row>
    <row r="506" spans="1:4" ht="32.25">
      <c r="A506" s="715" t="str">
        <f>IF(ster!$A$1=1,names!B506,IF(ster!$A$1=2,names!C506))</f>
        <v>III kw.
2014</v>
      </c>
      <c r="B506" s="716" t="s">
        <v>165</v>
      </c>
      <c r="C506" s="716" t="s">
        <v>1037</v>
      </c>
      <c r="D506" s="716"/>
    </row>
    <row r="507" spans="1:4" ht="32.25">
      <c r="A507" s="715" t="str">
        <f>IF(ster!$A$1=1,names!B507,IF(ster!$A$1=2,names!C507))</f>
        <v>IV kw.
2014</v>
      </c>
      <c r="B507" s="716" t="s">
        <v>166</v>
      </c>
      <c r="C507" s="716" t="s">
        <v>1038</v>
      </c>
      <c r="D507" s="716"/>
    </row>
    <row r="508" spans="1:4" ht="32.25">
      <c r="A508" s="715" t="str">
        <f>IF(ster!$A$1=1,names!B508,IF(ster!$A$1=2,names!C508))</f>
        <v>12 m-cy
2014</v>
      </c>
      <c r="B508" s="716" t="s">
        <v>185</v>
      </c>
      <c r="C508" s="716" t="s">
        <v>876</v>
      </c>
      <c r="D508" s="716"/>
    </row>
    <row r="509" spans="1:4" ht="32.25">
      <c r="A509" s="715" t="str">
        <f>IF(ster!$A$1=1,names!B509,IF(ster!$A$1=2,names!C509))</f>
        <v>I kw.
2015</v>
      </c>
      <c r="B509" s="716" t="s">
        <v>167</v>
      </c>
      <c r="C509" s="716" t="s">
        <v>1039</v>
      </c>
      <c r="D509" s="716"/>
    </row>
    <row r="510" spans="1:4" ht="32.25">
      <c r="A510" s="715" t="str">
        <f>IF(ster!$A$1=1,names!B510,IF(ster!$A$1=2,names!C510))</f>
        <v>II kw.
2015</v>
      </c>
      <c r="B510" s="716" t="s">
        <v>186</v>
      </c>
      <c r="C510" s="716" t="s">
        <v>1040</v>
      </c>
      <c r="D510" s="716"/>
    </row>
    <row r="511" spans="1:4" ht="32.25">
      <c r="A511" s="715" t="str">
        <f>IF(ster!$A$1=1,names!B511,IF(ster!$A$1=2,names!C511))</f>
        <v>III kw.
2015</v>
      </c>
      <c r="B511" s="716" t="s">
        <v>187</v>
      </c>
      <c r="C511" s="716" t="s">
        <v>1041</v>
      </c>
      <c r="D511" s="716"/>
    </row>
    <row r="512" spans="1:4" ht="32.25">
      <c r="A512" s="715" t="str">
        <f>IF(ster!$A$1=1,names!B512,IF(ster!$A$1=2,names!C512))</f>
        <v>IV kw.
2015</v>
      </c>
      <c r="B512" s="716" t="s">
        <v>188</v>
      </c>
      <c r="C512" s="716" t="s">
        <v>1042</v>
      </c>
      <c r="D512" s="716"/>
    </row>
    <row r="513" spans="1:4" ht="32.25">
      <c r="A513" s="715" t="str">
        <f>IF(ster!$A$1=1,names!B513,IF(ster!$A$1=2,names!C513))</f>
        <v>12 m-cy
2015</v>
      </c>
      <c r="B513" s="716" t="s">
        <v>189</v>
      </c>
      <c r="C513" s="716" t="s">
        <v>851</v>
      </c>
      <c r="D513" s="716"/>
    </row>
    <row r="514" spans="1:4" ht="32.25">
      <c r="A514" s="715" t="str">
        <f>IF(ster!$A$1=1,names!B514,IF(ster!$A$1=2,names!C514))</f>
        <v>I kw.
2016</v>
      </c>
      <c r="B514" s="716" t="s">
        <v>274</v>
      </c>
      <c r="C514" s="716" t="s">
        <v>1043</v>
      </c>
      <c r="D514" s="716"/>
    </row>
    <row r="515" spans="1:4" ht="32.25">
      <c r="A515" s="715" t="str">
        <f>IF(ster!$A$1=1,names!B515,IF(ster!$A$1=2,names!C515))</f>
        <v>II kw.
2016</v>
      </c>
      <c r="B515" s="716" t="s">
        <v>275</v>
      </c>
      <c r="C515" s="716" t="s">
        <v>1044</v>
      </c>
      <c r="D515" s="716"/>
    </row>
    <row r="516" spans="1:4" ht="32.25">
      <c r="A516" s="715" t="str">
        <f>IF(ster!$A$1=1,names!B516,IF(ster!$A$1=2,names!C516))</f>
        <v>III kw.
2016</v>
      </c>
      <c r="B516" s="716" t="s">
        <v>276</v>
      </c>
      <c r="C516" s="716" t="s">
        <v>1045</v>
      </c>
      <c r="D516" s="716"/>
    </row>
    <row r="517" spans="1:4" ht="32.25">
      <c r="A517" s="715" t="str">
        <f>IF(ster!$A$1=1,names!B517,IF(ster!$A$1=2,names!C517))</f>
        <v>IV kw.
2016</v>
      </c>
      <c r="B517" s="716" t="s">
        <v>277</v>
      </c>
      <c r="C517" s="716" t="s">
        <v>1046</v>
      </c>
      <c r="D517" s="716"/>
    </row>
    <row r="518" spans="1:4" ht="32.25">
      <c r="A518" s="715" t="str">
        <f>IF(ster!$A$1=1,names!B518,IF(ster!$A$1=2,names!C518))</f>
        <v>12 m-cy
2016</v>
      </c>
      <c r="B518" s="716" t="s">
        <v>278</v>
      </c>
      <c r="C518" s="716" t="s">
        <v>852</v>
      </c>
      <c r="D518" s="716"/>
    </row>
    <row r="519" spans="1:4" ht="32.25">
      <c r="A519" s="715" t="str">
        <f>IF(ster!$A$1=1,names!B519,IF(ster!$A$1=2,names!C519))</f>
        <v>I kw.
2017</v>
      </c>
      <c r="B519" s="716" t="s">
        <v>301</v>
      </c>
      <c r="C519" s="716" t="s">
        <v>1047</v>
      </c>
      <c r="D519" s="716"/>
    </row>
    <row r="520" spans="1:4" ht="32.25">
      <c r="A520" s="715" t="str">
        <f>IF(ster!$A$1=1,names!B520,IF(ster!$A$1=2,names!C520))</f>
        <v>II kw.
2017</v>
      </c>
      <c r="B520" s="716" t="s">
        <v>302</v>
      </c>
      <c r="C520" s="716" t="s">
        <v>1048</v>
      </c>
      <c r="D520" s="716"/>
    </row>
    <row r="521" spans="1:4" ht="32.25">
      <c r="A521" s="715" t="str">
        <f>IF(ster!$A$1=1,names!B521,IF(ster!$A$1=2,names!C521))</f>
        <v>III kw.
2017</v>
      </c>
      <c r="B521" s="716" t="s">
        <v>303</v>
      </c>
      <c r="C521" s="716" t="s">
        <v>1049</v>
      </c>
      <c r="D521" s="716"/>
    </row>
    <row r="522" spans="1:4" ht="32.25">
      <c r="A522" s="715" t="str">
        <f>IF(ster!$A$1=1,names!B522,IF(ster!$A$1=2,names!C522))</f>
        <v>IV kw.
2017</v>
      </c>
      <c r="B522" s="716" t="s">
        <v>304</v>
      </c>
      <c r="C522" s="716" t="s">
        <v>1050</v>
      </c>
      <c r="D522" s="716"/>
    </row>
    <row r="523" spans="1:4" ht="32.25">
      <c r="A523" s="715" t="str">
        <f>IF(ster!$A$1=1,names!B523,IF(ster!$A$1=2,names!C523))</f>
        <v>12 m-cy
2017</v>
      </c>
      <c r="B523" s="716" t="s">
        <v>305</v>
      </c>
      <c r="C523" s="716" t="s">
        <v>853</v>
      </c>
      <c r="D523" s="716"/>
    </row>
    <row r="524" spans="1:4" ht="32.25">
      <c r="A524" s="715" t="str">
        <f>IF(ster!$A$1=1,names!B524,IF(ster!$A$1=2,names!C524))</f>
        <v>I kw.
2018</v>
      </c>
      <c r="B524" s="716" t="s">
        <v>326</v>
      </c>
      <c r="C524" s="716" t="s">
        <v>1051</v>
      </c>
      <c r="D524" s="716"/>
    </row>
    <row r="525" spans="1:4" ht="32.25">
      <c r="A525" s="715" t="str">
        <f>IF(ster!$A$1=1,names!B525,IF(ster!$A$1=2,names!C525))</f>
        <v>II kw.
2018</v>
      </c>
      <c r="B525" s="716" t="s">
        <v>327</v>
      </c>
      <c r="C525" s="716" t="s">
        <v>1052</v>
      </c>
      <c r="D525" s="716"/>
    </row>
    <row r="526" spans="1:4" ht="32.25">
      <c r="A526" s="715" t="str">
        <f>IF(ster!$A$1=1,names!B526,IF(ster!$A$1=2,names!C526))</f>
        <v>III kw.
2018</v>
      </c>
      <c r="B526" s="716" t="s">
        <v>328</v>
      </c>
      <c r="C526" s="716" t="s">
        <v>1053</v>
      </c>
      <c r="D526" s="716"/>
    </row>
    <row r="527" spans="1:4" ht="32.25">
      <c r="A527" s="715" t="str">
        <f>IF(ster!$A$1=1,names!B527,IF(ster!$A$1=2,names!C527))</f>
        <v>IV kw.
2018 ***</v>
      </c>
      <c r="B527" s="716" t="s">
        <v>1576</v>
      </c>
      <c r="C527" s="716" t="s">
        <v>1054</v>
      </c>
      <c r="D527" s="716"/>
    </row>
    <row r="528" spans="1:4" ht="32.25">
      <c r="A528" s="715" t="str">
        <f>IF(ster!$A$1=1,names!B528,IF(ster!$A$1=2,names!C528))</f>
        <v>12 m-cy
2018 ***</v>
      </c>
      <c r="B528" s="716" t="s">
        <v>1577</v>
      </c>
      <c r="C528" s="716" t="s">
        <v>1578</v>
      </c>
      <c r="D528" s="716"/>
    </row>
    <row r="529" spans="1:4" ht="32.25">
      <c r="A529" s="715" t="str">
        <f>IF(ster!$A$1=1,names!B529,IF(ster!$A$1=2,names!C529))</f>
        <v>IV kw.
2018</v>
      </c>
      <c r="B529" s="716" t="s">
        <v>329</v>
      </c>
      <c r="C529" s="716" t="s">
        <v>1054</v>
      </c>
      <c r="D529" s="716"/>
    </row>
    <row r="530" spans="1:4" ht="32.25">
      <c r="A530" s="715" t="str">
        <f>IF(ster!$A$1=1,names!B530,IF(ster!$A$1=2,names!C530))</f>
        <v>12 m-cy
2018</v>
      </c>
      <c r="B530" s="716" t="s">
        <v>330</v>
      </c>
      <c r="C530" s="716" t="s">
        <v>854</v>
      </c>
      <c r="D530" s="716"/>
    </row>
    <row r="531" spans="1:4" ht="32.25">
      <c r="A531" s="715" t="str">
        <f>IF(ster!$A$1=1,names!B531,IF(ster!$A$1=2,names!C531))</f>
        <v>I kw.
2019</v>
      </c>
      <c r="B531" s="716" t="s">
        <v>363</v>
      </c>
      <c r="C531" s="716" t="s">
        <v>1055</v>
      </c>
      <c r="D531" s="716"/>
    </row>
    <row r="532" spans="1:4" ht="32.25">
      <c r="A532" s="715" t="str">
        <f>IF(ster!$A$1=1,names!B532,IF(ster!$A$1=2,names!C532))</f>
        <v>II kw.
2019</v>
      </c>
      <c r="B532" s="716" t="s">
        <v>364</v>
      </c>
      <c r="C532" s="716" t="s">
        <v>1014</v>
      </c>
      <c r="D532" s="716"/>
    </row>
    <row r="533" spans="1:4" ht="32.25">
      <c r="A533" s="715" t="str">
        <f>IF(ster!$A$1=1,names!B533,IF(ster!$A$1=2,names!C533))</f>
        <v>III kw.
2019</v>
      </c>
      <c r="B533" s="716" t="s">
        <v>365</v>
      </c>
      <c r="C533" s="716" t="s">
        <v>1056</v>
      </c>
      <c r="D533" s="716"/>
    </row>
    <row r="534" spans="1:4" ht="32.25">
      <c r="A534" s="715" t="str">
        <f>IF(ster!$A$1=1,names!B534,IF(ster!$A$1=2,names!C534))</f>
        <v>IV kw.
2019</v>
      </c>
      <c r="B534" s="716" t="s">
        <v>367</v>
      </c>
      <c r="C534" s="716" t="s">
        <v>1057</v>
      </c>
      <c r="D534" s="716"/>
    </row>
    <row r="535" spans="1:4" ht="32.25">
      <c r="A535" s="715" t="str">
        <f>IF(ster!$A$1=1,names!B535,IF(ster!$A$1=2,names!C535))</f>
        <v>12 m-cy
2019</v>
      </c>
      <c r="B535" s="716" t="s">
        <v>366</v>
      </c>
      <c r="C535" s="716" t="s">
        <v>855</v>
      </c>
      <c r="D535" s="716"/>
    </row>
    <row r="536" spans="1:4" ht="32.25">
      <c r="A536" s="715" t="str">
        <f>IF(ster!$A$1=1,names!B536,IF(ster!$A$1=2,names!C536))</f>
        <v>I kw.
2020</v>
      </c>
      <c r="B536" s="716" t="s">
        <v>404</v>
      </c>
      <c r="C536" s="716" t="s">
        <v>1018</v>
      </c>
      <c r="D536" s="716"/>
    </row>
    <row r="537" spans="1:4">
      <c r="A537" s="715">
        <f>IF(ster!$A$1=1,names!B537,IF(ster!$A$1=2,names!C537))</f>
        <v>0</v>
      </c>
      <c r="B537" s="716"/>
      <c r="C537" s="716"/>
      <c r="D537" s="716"/>
    </row>
    <row r="538" spans="1:4">
      <c r="A538" s="715" t="str">
        <f>IF(ster!$A$1=1,names!B538,IF(ster!$A$1=2,names!C538))</f>
        <v>Segment Wydobycie</v>
      </c>
      <c r="B538" s="717" t="s">
        <v>123</v>
      </c>
      <c r="C538" s="716" t="s">
        <v>1058</v>
      </c>
      <c r="D538" s="716"/>
    </row>
    <row r="539" spans="1:4" ht="32.25">
      <c r="A539" s="715" t="str">
        <f>IF(ster!$A$1=1,names!B539,IF(ster!$A$1=2,names!C539))</f>
        <v>Zysk/(Strata) operacyjna powiększona o amortyzację (EBITDA) przed odpisami aktualizującymi</v>
      </c>
      <c r="B539" s="716" t="s">
        <v>148</v>
      </c>
      <c r="C539" s="716" t="s">
        <v>1025</v>
      </c>
      <c r="D539" s="716"/>
    </row>
    <row r="540" spans="1:4" ht="32.25">
      <c r="A540" s="715" t="str">
        <f>IF(ster!$A$1=1,names!B540,IF(ster!$A$1=2,names!C540))</f>
        <v>Zysk/(Strata) operacyjna powiększona o amortyzację (EBITDA)</v>
      </c>
      <c r="B540" s="716" t="s">
        <v>119</v>
      </c>
      <c r="C540" s="716" t="s">
        <v>999</v>
      </c>
      <c r="D540" s="716"/>
    </row>
    <row r="541" spans="1:4">
      <c r="A541" s="715" t="str">
        <f>IF(ster!$A$1=1,names!B541,IF(ster!$A$1=2,names!C541))</f>
        <v>Zysk/(Strata) operacyjna (EBIT) przed odpisami aktualizującymi</v>
      </c>
      <c r="B541" s="716" t="s">
        <v>258</v>
      </c>
      <c r="C541" s="716" t="s">
        <v>1059</v>
      </c>
      <c r="D541" s="716"/>
    </row>
    <row r="542" spans="1:4">
      <c r="A542" s="715" t="str">
        <f>IF(ster!$A$1=1,names!B542,IF(ster!$A$1=2,names!C542))</f>
        <v>Zysk/(Strata) operacyjna (EBIT)</v>
      </c>
      <c r="B542" s="716" t="s">
        <v>257</v>
      </c>
      <c r="C542" s="716" t="s">
        <v>1002</v>
      </c>
      <c r="D542" s="716"/>
    </row>
    <row r="543" spans="1:4" ht="63.75">
      <c r="A543" s="715" t="str">
        <f>IF(ster!$A$1=1,names!B543,IF(ster!$A$1=2,names!C543))</f>
        <v>*) Dane przekształcone – zmiana metody konsolidacji spółek Basell ORLEN Polyolefines Sp. z o.o. i Płocki Park Przemysłowo-Technologiczny S.A. zgodnie z MSSF 11.</v>
      </c>
      <c r="B543" s="716" t="s">
        <v>197</v>
      </c>
      <c r="C543" s="716" t="s">
        <v>1027</v>
      </c>
      <c r="D543" s="716"/>
    </row>
    <row r="544" spans="1:4" ht="32.25">
      <c r="A544" s="715" t="str">
        <f>IF(ster!$A$1=1,names!B544,IF(ster!$A$1=2,names!C544))</f>
        <v>**) Zgodnie z MSSF 16 Leasing w pozycji zwiększenie aktywów trwałych ujęto wartość praw do użytkowania.</v>
      </c>
      <c r="B544" s="716" t="s">
        <v>391</v>
      </c>
      <c r="C544" s="716" t="s">
        <v>1060</v>
      </c>
      <c r="D544" s="716"/>
    </row>
    <row r="545" spans="1:4">
      <c r="A545" s="715">
        <f>IF(ster!$A$1=1,names!B545,IF(ster!$A$1=2,names!C545))</f>
        <v>0</v>
      </c>
      <c r="B545" s="716"/>
      <c r="C545" s="716"/>
      <c r="D545" s="716"/>
    </row>
    <row r="546" spans="1:4">
      <c r="A546" s="715" t="str">
        <f>IF(ster!$A$1=1,names!B546,IF(ster!$A$1=2,names!C546))</f>
        <v>Segment Gaz</v>
      </c>
      <c r="B546" s="717" t="s">
        <v>614</v>
      </c>
      <c r="C546" s="716" t="s">
        <v>1061</v>
      </c>
      <c r="D546" s="716"/>
    </row>
    <row r="547" spans="1:4">
      <c r="A547" s="715">
        <f>IF(ster!$A$1=1,names!B547,IF(ster!$A$1=2,names!C547))</f>
        <v>0</v>
      </c>
      <c r="B547" s="716"/>
      <c r="C547" s="716"/>
      <c r="D547" s="716"/>
    </row>
    <row r="548" spans="1:4">
      <c r="A548" s="715" t="str">
        <f>IF(ster!$A$1=1,names!B548,IF(ster!$A$1=2,names!C548))</f>
        <v>Corporate functions</v>
      </c>
      <c r="B548" s="717" t="s">
        <v>800</v>
      </c>
      <c r="C548" s="716" t="s">
        <v>1063</v>
      </c>
      <c r="D548" s="716"/>
    </row>
    <row r="549" spans="1:4" ht="32.25">
      <c r="A549" s="715" t="str">
        <f>IF(ster!$A$1=1,names!B549,IF(ster!$A$1=2,names!C549))</f>
        <v>zysk z tytułu okazyjnego nabycia Grupy Kapitałowej LOTOS i PGNIG</v>
      </c>
      <c r="B549" s="716" t="s">
        <v>648</v>
      </c>
      <c r="C549" s="716" t="s">
        <v>1062</v>
      </c>
      <c r="D549" s="716"/>
    </row>
    <row r="550" spans="1:4">
      <c r="A550" s="715" t="str">
        <f>IF(ster!$A$1=1,names!B550,IF(ster!$A$1=2,names!C550))</f>
        <v>Zwiększenie aktywów trwałych **</v>
      </c>
      <c r="B550" s="716" t="s">
        <v>390</v>
      </c>
      <c r="C550" s="716" t="s">
        <v>1026</v>
      </c>
      <c r="D550" s="716"/>
    </row>
    <row r="551" spans="1:4">
      <c r="A551" s="715" t="str">
        <f>IF(ster!$A$1=1,names!B551,IF(ster!$A$1=2,names!C551))</f>
        <v>*) Dane przekształcone.</v>
      </c>
      <c r="B551" s="716" t="s">
        <v>457</v>
      </c>
      <c r="C551" s="716" t="s">
        <v>1005</v>
      </c>
      <c r="D551" s="716"/>
    </row>
    <row r="552" spans="1:4" ht="63.75">
      <c r="A552" s="715" t="str">
        <f>IF(ster!$A$1=1,names!B552,IF(ster!$A$1=2,names!C552))</f>
        <v>**) Zgodnie z MSSF 16 Leasing w pozycji zwiększenie aktywów trwałych ujęto wartość praw do użytkowania - w celu zachowania spójności zaktualizowano również dane za I kwartał 2019.</v>
      </c>
      <c r="B552" s="716" t="s">
        <v>389</v>
      </c>
      <c r="C552" s="716" t="s">
        <v>1028</v>
      </c>
      <c r="D552" s="716"/>
    </row>
    <row r="553" spans="1:4" ht="32.25">
      <c r="A553" s="715" t="str">
        <f>IF(ster!$A$1=1,names!B553,IF(ster!$A$1=2,names!C553))</f>
        <v>12 m-cy
2018</v>
      </c>
      <c r="B553" s="716" t="s">
        <v>330</v>
      </c>
      <c r="C553" s="716" t="s">
        <v>854</v>
      </c>
      <c r="D553" s="716"/>
    </row>
    <row r="554" spans="1:4" ht="32.25">
      <c r="A554" s="715" t="str">
        <f>IF(ster!$A$1=1,names!B554,IF(ster!$A$1=2,names!C554))</f>
        <v>I kw.
2021</v>
      </c>
      <c r="B554" s="716" t="s">
        <v>486</v>
      </c>
      <c r="C554" s="716" t="s">
        <v>1011</v>
      </c>
      <c r="D554" s="716"/>
    </row>
    <row r="555" spans="1:4">
      <c r="A555" s="715">
        <f>IF(ster!$A$1=1,names!B555,IF(ster!$A$1=2,names!C555))</f>
        <v>0</v>
      </c>
      <c r="B555" s="716"/>
      <c r="C555" s="716"/>
      <c r="D555" s="716"/>
    </row>
    <row r="556" spans="1:4">
      <c r="A556" s="715">
        <f>IF(ster!$A$1=1,names!B556,IF(ster!$A$1=2,names!C556))</f>
        <v>0</v>
      </c>
      <c r="B556" s="716"/>
      <c r="C556" s="716"/>
      <c r="D556" s="716"/>
    </row>
    <row r="557" spans="1:4" ht="32.25">
      <c r="A557" s="715" t="str">
        <f>IF(ster!$A$1=1,names!B557,IF(ster!$A$1=2,names!C557))</f>
        <v>Skonsolidowane sprawozdanie z zysków lub strat i innych całkowitych dochodów</v>
      </c>
      <c r="B557" s="717" t="s">
        <v>265</v>
      </c>
      <c r="C557" s="716" t="s">
        <v>1064</v>
      </c>
      <c r="D557" s="716"/>
    </row>
    <row r="558" spans="1:4">
      <c r="A558" s="715">
        <f>IF(ster!$A$1=1,names!B558,IF(ster!$A$1=2,names!C558))</f>
        <v>0</v>
      </c>
      <c r="B558" s="716"/>
      <c r="C558" s="716"/>
      <c r="D558" s="716"/>
    </row>
    <row r="559" spans="1:4" ht="32.25">
      <c r="A559" s="715" t="str">
        <f>IF(ster!$A$1=1,names!B559,IF(ster!$A$1=2,names!C559))</f>
        <v>Wyszczególnienie, 
mln PLN</v>
      </c>
      <c r="B559" s="716" t="s">
        <v>161</v>
      </c>
      <c r="C559" s="716" t="s">
        <v>948</v>
      </c>
      <c r="D559" s="716"/>
    </row>
    <row r="560" spans="1:4">
      <c r="A560" s="715">
        <f>IF(ster!$A$1=1,names!B560,IF(ster!$A$1=2,names!C560))</f>
        <v>0</v>
      </c>
      <c r="B560" s="716"/>
      <c r="C560" s="716"/>
      <c r="D560" s="716"/>
    </row>
    <row r="561" spans="1:4">
      <c r="A561" s="715" t="str">
        <f>IF(ster!$A$1=1,names!B561,IF(ster!$A$1=2,names!C561))</f>
        <v>Przychody ze sprzedaży</v>
      </c>
      <c r="B561" s="716" t="s">
        <v>57</v>
      </c>
      <c r="C561" s="716" t="s">
        <v>903</v>
      </c>
      <c r="D561" s="716"/>
    </row>
    <row r="562" spans="1:4">
      <c r="A562" s="715" t="str">
        <f>IF(ster!$A$1=1,names!B562,IF(ster!$A$1=2,names!C562))</f>
        <v>przychody ze sprzedaży produktów i usług</v>
      </c>
      <c r="B562" s="716" t="s">
        <v>332</v>
      </c>
      <c r="C562" s="716" t="s">
        <v>1065</v>
      </c>
      <c r="D562" s="716"/>
    </row>
    <row r="563" spans="1:4">
      <c r="A563" s="715" t="str">
        <f>IF(ster!$A$1=1,names!B563,IF(ster!$A$1=2,names!C563))</f>
        <v>przychody ze sprzedaży towarów i materiałów</v>
      </c>
      <c r="B563" s="716" t="s">
        <v>333</v>
      </c>
      <c r="C563" s="716" t="s">
        <v>1066</v>
      </c>
      <c r="D563" s="716"/>
    </row>
    <row r="564" spans="1:4">
      <c r="A564" s="715" t="str">
        <f>IF(ster!$A$1=1,names!B564,IF(ster!$A$1=2,names!C564))</f>
        <v>Koszt własny sprzedaży</v>
      </c>
      <c r="B564" s="716" t="s">
        <v>84</v>
      </c>
      <c r="C564" s="716" t="s">
        <v>1067</v>
      </c>
      <c r="D564" s="716"/>
    </row>
    <row r="565" spans="1:4">
      <c r="A565" s="715" t="str">
        <f>IF(ster!$A$1=1,names!B565,IF(ster!$A$1=2,names!C565))</f>
        <v>koszt wytworzenia sprzedanych produktów i usług</v>
      </c>
      <c r="B565" s="716" t="s">
        <v>334</v>
      </c>
      <c r="C565" s="716" t="s">
        <v>1068</v>
      </c>
      <c r="D565" s="716"/>
    </row>
    <row r="566" spans="1:4">
      <c r="A566" s="715" t="str">
        <f>IF(ster!$A$1=1,names!B566,IF(ster!$A$1=2,names!C566))</f>
        <v>wartość sprzedanych towarów i materiałów</v>
      </c>
      <c r="B566" s="716" t="s">
        <v>335</v>
      </c>
      <c r="C566" s="716" t="s">
        <v>1069</v>
      </c>
      <c r="D566" s="716"/>
    </row>
    <row r="567" spans="1:4">
      <c r="A567" s="715" t="str">
        <f>IF(ster!$A$1=1,names!B567,IF(ster!$A$1=2,names!C567))</f>
        <v>Zysk/(Strata) brutto ze sprzedaży</v>
      </c>
      <c r="B567" s="716" t="s">
        <v>421</v>
      </c>
      <c r="C567" s="716" t="s">
        <v>1070</v>
      </c>
      <c r="D567" s="716"/>
    </row>
    <row r="568" spans="1:4">
      <c r="A568" s="715" t="str">
        <f>IF(ster!$A$1=1,names!B568,IF(ster!$A$1=2,names!C568))</f>
        <v>Koszty sprzedaży</v>
      </c>
      <c r="B568" s="716" t="s">
        <v>37</v>
      </c>
      <c r="C568" s="716" t="s">
        <v>1071</v>
      </c>
      <c r="D568" s="716"/>
    </row>
    <row r="569" spans="1:4">
      <c r="A569" s="715" t="str">
        <f>IF(ster!$A$1=1,names!B569,IF(ster!$A$1=2,names!C569))</f>
        <v>Koszty ogólnego zarządu</v>
      </c>
      <c r="B569" s="716" t="s">
        <v>38</v>
      </c>
      <c r="C569" s="716" t="s">
        <v>1072</v>
      </c>
      <c r="D569" s="716"/>
    </row>
    <row r="570" spans="1:4">
      <c r="A570" s="715" t="str">
        <f>IF(ster!$A$1=1,names!B570,IF(ster!$A$1=2,names!C570))</f>
        <v>Pozostałe przychody operacyjne**</v>
      </c>
      <c r="B570" s="716" t="s">
        <v>1575</v>
      </c>
      <c r="C570" s="716" t="s">
        <v>1073</v>
      </c>
      <c r="D570" s="716"/>
    </row>
    <row r="571" spans="1:4" ht="32.25">
      <c r="A571" s="715" t="str">
        <f>IF(ster!$A$1=1,names!B571,IF(ster!$A$1=2,names!C571))</f>
        <v>zysk z tytułu okazyjnego nabycia Grupy Kapitałowej LOTOS i Grupy PGNiG</v>
      </c>
      <c r="B571" s="716" t="s">
        <v>646</v>
      </c>
      <c r="C571" s="716" t="s">
        <v>1074</v>
      </c>
      <c r="D571" s="716"/>
    </row>
    <row r="572" spans="1:4">
      <c r="A572" s="715" t="str">
        <f>IF(ster!$A$1=1,names!B572,IF(ster!$A$1=2,names!C572))</f>
        <v>Pozostałe koszty operacyjne</v>
      </c>
      <c r="B572" s="716" t="s">
        <v>39</v>
      </c>
      <c r="C572" s="716" t="s">
        <v>994</v>
      </c>
      <c r="D572" s="716"/>
    </row>
    <row r="573" spans="1:4" ht="32.25">
      <c r="A573" s="715" t="str">
        <f>IF(ster!$A$1=1,names!B573,IF(ster!$A$1=2,names!C573))</f>
        <v>(Strata)/odwrócenie straty z tytułu utraty wartości należności handlowych</v>
      </c>
      <c r="B573" s="716" t="s">
        <v>680</v>
      </c>
      <c r="C573" s="716" t="s">
        <v>1075</v>
      </c>
      <c r="D573" s="716"/>
    </row>
    <row r="574" spans="1:4" ht="32.25">
      <c r="A574" s="715" t="str">
        <f>IF(ster!$A$1=1,names!B574,IF(ster!$A$1=2,names!C574))</f>
        <v>Udział w wyniku finansowym jednostek wycenianych metodą praw własności</v>
      </c>
      <c r="B574" s="716" t="s">
        <v>24</v>
      </c>
      <c r="C574" s="716" t="s">
        <v>1076</v>
      </c>
      <c r="D574" s="716"/>
    </row>
    <row r="575" spans="1:4">
      <c r="A575" s="715" t="str">
        <f>IF(ster!$A$1=1,names!B575,IF(ster!$A$1=2,names!C575))</f>
        <v>Zysk/(Strata) z działalności operacyjnej</v>
      </c>
      <c r="B575" s="716" t="s">
        <v>129</v>
      </c>
      <c r="C575" s="716" t="s">
        <v>1002</v>
      </c>
      <c r="D575" s="716"/>
    </row>
    <row r="576" spans="1:4">
      <c r="A576" s="715" t="str">
        <f>IF(ster!$A$1=1,names!B576,IF(ster!$A$1=2,names!C576))</f>
        <v>Przychody finansowe</v>
      </c>
      <c r="B576" s="716" t="s">
        <v>40</v>
      </c>
      <c r="C576" s="716" t="s">
        <v>1077</v>
      </c>
      <c r="D576" s="716"/>
    </row>
    <row r="577" spans="1:4">
      <c r="A577" s="715" t="str">
        <f>IF(ster!$A$1=1,names!B577,IF(ster!$A$1=2,names!C577))</f>
        <v>Koszty finansowe</v>
      </c>
      <c r="B577" s="716" t="s">
        <v>59</v>
      </c>
      <c r="C577" s="716" t="s">
        <v>1078</v>
      </c>
      <c r="D577" s="716"/>
    </row>
    <row r="578" spans="1:4">
      <c r="A578" s="715" t="str">
        <f>IF(ster!$A$1=1,names!B578,IF(ster!$A$1=2,names!C578))</f>
        <v>Przychody i koszty finansowe netto</v>
      </c>
      <c r="B578" s="716" t="s">
        <v>41</v>
      </c>
      <c r="C578" s="716" t="s">
        <v>1079</v>
      </c>
      <c r="D578" s="716"/>
    </row>
    <row r="579" spans="1:4" ht="32.25">
      <c r="A579" s="715" t="str">
        <f>IF(ster!$A$1=1,names!B579,IF(ster!$A$1=2,names!C579))</f>
        <v>(Strata)/odwrócenie straty z tytułu utraty wartości aktywów finansowych innych niż należności handlowe</v>
      </c>
      <c r="B579" s="716" t="s">
        <v>776</v>
      </c>
      <c r="C579" s="716" t="s">
        <v>1080</v>
      </c>
      <c r="D579" s="716"/>
    </row>
    <row r="580" spans="1:4">
      <c r="A580" s="715" t="str">
        <f>IF(ster!$A$1=1,names!B580,IF(ster!$A$1=2,names!C580))</f>
        <v>Zysk/(Strata) przed opodatkowaniem</v>
      </c>
      <c r="B580" s="716" t="s">
        <v>125</v>
      </c>
      <c r="C580" s="716" t="s">
        <v>1081</v>
      </c>
      <c r="D580" s="716"/>
    </row>
    <row r="581" spans="1:4">
      <c r="A581" s="715" t="str">
        <f>IF(ster!$A$1=1,names!B581,IF(ster!$A$1=2,names!C581))</f>
        <v>Podatek dochodowy</v>
      </c>
      <c r="B581" s="716" t="s">
        <v>61</v>
      </c>
      <c r="C581" s="716" t="s">
        <v>1082</v>
      </c>
      <c r="D581" s="716"/>
    </row>
    <row r="582" spans="1:4">
      <c r="A582" s="715" t="str">
        <f>IF(ster!$A$1=1,names!B582,IF(ster!$A$1=2,names!C582))</f>
        <v>Zysk/(Strata) netto</v>
      </c>
      <c r="B582" s="716" t="s">
        <v>126</v>
      </c>
      <c r="C582" s="716" t="s">
        <v>1083</v>
      </c>
      <c r="D582" s="716"/>
    </row>
    <row r="583" spans="1:4">
      <c r="A583" s="715">
        <f>IF(ster!$A$1=1,names!B583,IF(ster!$A$1=2,names!C583))</f>
        <v>0</v>
      </c>
      <c r="B583" s="716"/>
      <c r="C583" s="716"/>
      <c r="D583" s="716"/>
    </row>
    <row r="584" spans="1:4">
      <c r="A584" s="715" t="str">
        <f>IF(ster!$A$1=1,names!B584,IF(ster!$A$1=2,names!C584))</f>
        <v>Inne całkowite dochody:</v>
      </c>
      <c r="B584" s="716" t="s">
        <v>337</v>
      </c>
      <c r="C584" s="716" t="s">
        <v>1084</v>
      </c>
      <c r="D584" s="716"/>
    </row>
    <row r="585" spans="1:4" ht="32.25">
      <c r="A585" s="715" t="str">
        <f>IF(ster!$A$1=1,names!B585,IF(ster!$A$1=2,names!C585))</f>
        <v>które nie zostaną następnie przeklasyfikowane na zyski lub straty</v>
      </c>
      <c r="B585" s="716" t="s">
        <v>338</v>
      </c>
      <c r="C585" s="716" t="s">
        <v>1085</v>
      </c>
      <c r="D585" s="716"/>
    </row>
    <row r="586" spans="1:4" ht="32.25">
      <c r="A586" s="715" t="str">
        <f>IF(ster!$A$1=1,names!B586,IF(ster!$A$1=2,names!C586))</f>
        <v>wycena nieruchomości inwestycyjnych do wartości godziwej na moment przeklasyfikowania</v>
      </c>
      <c r="B586" s="716" t="s">
        <v>681</v>
      </c>
      <c r="C586" s="716" t="s">
        <v>1086</v>
      </c>
      <c r="D586" s="716"/>
    </row>
    <row r="587" spans="1:4">
      <c r="A587" s="715" t="str">
        <f>IF(ster!$A$1=1,names!B587,IF(ster!$A$1=2,names!C587))</f>
        <v>zyski i straty aktuarialne</v>
      </c>
      <c r="B587" s="716" t="s">
        <v>288</v>
      </c>
      <c r="C587" s="716" t="s">
        <v>1087</v>
      </c>
      <c r="D587" s="716"/>
    </row>
    <row r="588" spans="1:4" ht="32.25">
      <c r="A588" s="715" t="str">
        <f>IF(ster!$A$1=1,names!B588,IF(ster!$A$1=2,names!C588))</f>
        <v>zyski/(straty) z tytułu inwestycji w instrumenty kapitałowe wyceniane w wartości godziwej przez inne całkowite dochody</v>
      </c>
      <c r="B588" s="716" t="s">
        <v>339</v>
      </c>
      <c r="C588" s="716" t="s">
        <v>1088</v>
      </c>
      <c r="D588" s="716"/>
    </row>
    <row r="589" spans="1:4">
      <c r="A589" s="715" t="str">
        <f>IF(ster!$A$1=1,names!B589,IF(ster!$A$1=2,names!C589))</f>
        <v>podatek odroczony</v>
      </c>
      <c r="B589" s="716" t="s">
        <v>289</v>
      </c>
      <c r="C589" s="716" t="s">
        <v>1089</v>
      </c>
      <c r="D589" s="716"/>
    </row>
    <row r="590" spans="1:4">
      <c r="A590" s="715" t="str">
        <f>IF(ster!$A$1=1,names!B590,IF(ster!$A$1=2,names!C590))</f>
        <v>które zostaną przeklasyfikowane na zyski lub straty</v>
      </c>
      <c r="B590" s="716" t="s">
        <v>340</v>
      </c>
      <c r="C590" s="716" t="s">
        <v>1090</v>
      </c>
      <c r="D590" s="716"/>
    </row>
    <row r="591" spans="1:4">
      <c r="A591" s="715" t="str">
        <f>IF(ster!$A$1=1,names!B591,IF(ster!$A$1=2,names!C591))</f>
        <v>instrumenty pochodne zabezpieczające przepływy pieniężne</v>
      </c>
      <c r="B591" s="716" t="s">
        <v>682</v>
      </c>
      <c r="C591" s="716" t="s">
        <v>1091</v>
      </c>
      <c r="D591" s="716"/>
    </row>
    <row r="592" spans="1:4">
      <c r="A592" s="715" t="str">
        <f>IF(ster!$A$1=1,names!B592,IF(ster!$A$1=2,names!C592))</f>
        <v>koszty zabezpieczenia</v>
      </c>
      <c r="B592" s="716" t="s">
        <v>350</v>
      </c>
      <c r="C592" s="716" t="s">
        <v>1092</v>
      </c>
      <c r="D592" s="716"/>
    </row>
    <row r="593" spans="1:4">
      <c r="A593" s="715" t="str">
        <f>IF(ster!$A$1=1,names!B593,IF(ster!$A$1=2,names!C593))</f>
        <v>różnice kursowe z przeliczenia jednostek działających za granicą</v>
      </c>
      <c r="B593" s="716" t="s">
        <v>312</v>
      </c>
      <c r="C593" s="716" t="s">
        <v>1093</v>
      </c>
      <c r="D593" s="716"/>
    </row>
    <row r="594" spans="1:4" ht="32.25">
      <c r="A594" s="715" t="str">
        <f>IF(ster!$A$1=1,names!B594,IF(ster!$A$1=2,names!C594))</f>
        <v>udział w innych całkowitych dochodach w jednostkach wycenianych metodą praw własności</v>
      </c>
      <c r="B594" s="716" t="s">
        <v>512</v>
      </c>
      <c r="C594" s="716" t="s">
        <v>1094</v>
      </c>
      <c r="D594" s="716"/>
    </row>
    <row r="595" spans="1:4">
      <c r="A595" s="715" t="str">
        <f>IF(ster!$A$1=1,names!B595,IF(ster!$A$1=2,names!C595))</f>
        <v>podatek dochodowy</v>
      </c>
      <c r="B595" s="716" t="s">
        <v>1994</v>
      </c>
      <c r="C595" s="716" t="s">
        <v>1995</v>
      </c>
      <c r="D595" s="716"/>
    </row>
    <row r="596" spans="1:4">
      <c r="A596" s="715" t="str">
        <f>IF(ster!$A$1=1,names!B596,IF(ster!$A$1=2,names!C596))</f>
        <v>Całkowite dochody netto</v>
      </c>
      <c r="B596" s="716" t="s">
        <v>85</v>
      </c>
      <c r="C596" s="716" t="s">
        <v>1095</v>
      </c>
      <c r="D596" s="716"/>
    </row>
    <row r="597" spans="1:4">
      <c r="A597" s="715">
        <f>IF(ster!$A$1=1,names!B597,IF(ster!$A$1=2,names!C597))</f>
        <v>0</v>
      </c>
      <c r="B597" s="716"/>
      <c r="C597" s="716"/>
      <c r="D597" s="716"/>
    </row>
    <row r="598" spans="1:4">
      <c r="A598" s="715" t="str">
        <f>IF(ster!$A$1=1,names!B598,IF(ster!$A$1=2,names!C598))</f>
        <v>Zysk/(strata) netto przypadający na</v>
      </c>
      <c r="B598" s="716" t="s">
        <v>402</v>
      </c>
      <c r="C598" s="716" t="s">
        <v>1096</v>
      </c>
      <c r="D598" s="716"/>
    </row>
    <row r="599" spans="1:4">
      <c r="A599" s="715" t="str">
        <f>IF(ster!$A$1=1,names!B599,IF(ster!$A$1=2,names!C599))</f>
        <v>akcjonariuszy jednostki dominującej</v>
      </c>
      <c r="B599" s="716" t="s">
        <v>29</v>
      </c>
      <c r="C599" s="716" t="s">
        <v>1097</v>
      </c>
      <c r="D599" s="716"/>
    </row>
    <row r="600" spans="1:4">
      <c r="A600" s="715" t="str">
        <f>IF(ster!$A$1=1,names!B600,IF(ster!$A$1=2,names!C600))</f>
        <v>akcjonariuszy/udziałowców niekontrolujących</v>
      </c>
      <c r="B600" s="716" t="s">
        <v>86</v>
      </c>
      <c r="C600" s="716" t="s">
        <v>1098</v>
      </c>
      <c r="D600" s="716"/>
    </row>
    <row r="601" spans="1:4">
      <c r="A601" s="715">
        <f>IF(ster!$A$1=1,names!B601,IF(ster!$A$1=2,names!C601))</f>
        <v>0</v>
      </c>
      <c r="B601" s="716"/>
      <c r="C601" s="716" t="s">
        <v>1099</v>
      </c>
      <c r="D601" s="716"/>
    </row>
    <row r="602" spans="1:4">
      <c r="A602" s="715" t="str">
        <f>IF(ster!$A$1=1,names!B602,IF(ster!$A$1=2,names!C602))</f>
        <v>Całkowite dochody netto przypadające na</v>
      </c>
      <c r="B602" s="716" t="s">
        <v>128</v>
      </c>
      <c r="C602" s="716" t="s">
        <v>1100</v>
      </c>
      <c r="D602" s="716"/>
    </row>
    <row r="603" spans="1:4">
      <c r="A603" s="715" t="str">
        <f>IF(ster!$A$1=1,names!B603,IF(ster!$A$1=2,names!C603))</f>
        <v>akcjonariuszy jednostki dominującej</v>
      </c>
      <c r="B603" s="716" t="s">
        <v>29</v>
      </c>
      <c r="C603" s="716" t="s">
        <v>1097</v>
      </c>
      <c r="D603" s="716"/>
    </row>
    <row r="604" spans="1:4">
      <c r="A604" s="715" t="str">
        <f>IF(ster!$A$1=1,names!B604,IF(ster!$A$1=2,names!C604))</f>
        <v>akcjonariuszy/udziałowców niekontrolujących</v>
      </c>
      <c r="B604" s="716" t="s">
        <v>86</v>
      </c>
      <c r="C604" s="716" t="s">
        <v>1098</v>
      </c>
      <c r="D604" s="716"/>
    </row>
    <row r="605" spans="1:4">
      <c r="A605" s="715">
        <f>IF(ster!$A$1=1,names!B605,IF(ster!$A$1=2,names!C605))</f>
        <v>0</v>
      </c>
      <c r="B605" s="716"/>
      <c r="C605" s="716"/>
      <c r="D605" s="716"/>
    </row>
    <row r="606" spans="1:4" ht="48">
      <c r="A606" s="715" t="str">
        <f>IF(ster!$A$1=1,names!B606,IF(ster!$A$1=2,names!C606))</f>
        <v>Zysk netto i rozwodniony zysk netto na jedną akcję przypadający akcjonariuszom jednostki dominującej (w PLN na akcję)</v>
      </c>
      <c r="B606" s="716" t="s">
        <v>403</v>
      </c>
      <c r="C606" s="716" t="s">
        <v>1101</v>
      </c>
      <c r="D606" s="716"/>
    </row>
    <row r="607" spans="1:4">
      <c r="A607" s="715" t="str">
        <f>IF(ster!$A$1=1,names!B607,IF(ster!$A$1=2,names!C607))</f>
        <v>podstawowy</v>
      </c>
      <c r="B607" s="716" t="s">
        <v>1636</v>
      </c>
      <c r="C607" s="716" t="s">
        <v>1638</v>
      </c>
      <c r="D607" s="716"/>
    </row>
    <row r="608" spans="1:4">
      <c r="A608" s="715" t="str">
        <f>IF(ster!$A$1=1,names!B608,IF(ster!$A$1=2,names!C608))</f>
        <v>rozwodniony</v>
      </c>
      <c r="B608" s="716" t="s">
        <v>1637</v>
      </c>
      <c r="C608" s="716" t="s">
        <v>1639</v>
      </c>
      <c r="D608" s="716"/>
    </row>
    <row r="609" spans="1:4">
      <c r="A609" s="715">
        <f>IF(ster!$A$1=1,names!B609,IF(ster!$A$1=2,names!C609))</f>
        <v>0</v>
      </c>
      <c r="B609" s="716"/>
      <c r="C609" s="716"/>
      <c r="D609" s="716"/>
    </row>
    <row r="610" spans="1:4">
      <c r="A610" s="715" t="str">
        <f>IF(ster!$A$1=1,names!B610,IF(ster!$A$1=2,names!C610))</f>
        <v>*) Dane przekształcone.</v>
      </c>
      <c r="B610" s="716" t="s">
        <v>457</v>
      </c>
      <c r="C610" s="716" t="s">
        <v>1005</v>
      </c>
      <c r="D610" s="716"/>
    </row>
    <row r="611" spans="1:4" ht="63.75">
      <c r="A611" s="715" t="str">
        <f>IF(ster!$A$1=1,names!B611,IF(ster!$A$1=2,names!C611))</f>
        <v>**) W okresie 3 miesięcy zakończonym 30 czerwca 2020 roku oraz w okresie 12 miesięcy zakończonym 31 grudnia 2020 roku z uwzględnieniem rozpoznania zysku z tytułu okazyjnego nabycia 80% akcji Grupy ENERGA w wysokości 4 062 mln PLN.</v>
      </c>
      <c r="B611" s="716" t="s">
        <v>485</v>
      </c>
      <c r="C611" s="716" t="s">
        <v>1102</v>
      </c>
      <c r="D611" s="716"/>
    </row>
    <row r="612" spans="1:4" ht="32.25">
      <c r="A612" s="715" t="str">
        <f>IF(ster!$A$1=1,names!B612,IF(ster!$A$1=2,names!C612))</f>
        <v>I kw.
2020</v>
      </c>
      <c r="B612" s="716" t="s">
        <v>404</v>
      </c>
      <c r="C612" s="716" t="s">
        <v>1018</v>
      </c>
      <c r="D612" s="716"/>
    </row>
    <row r="613" spans="1:4" ht="32.25">
      <c r="A613" s="715" t="str">
        <f>IF(ster!$A$1=1,names!B613,IF(ster!$A$1=2,names!C613))</f>
        <v>II kw.
2020*</v>
      </c>
      <c r="B613" s="716" t="s">
        <v>507</v>
      </c>
      <c r="C613" s="716" t="s">
        <v>1019</v>
      </c>
      <c r="D613" s="716"/>
    </row>
    <row r="614" spans="1:4" ht="32.25">
      <c r="A614" s="715" t="str">
        <f>IF(ster!$A$1=1,names!B614,IF(ster!$A$1=2,names!C614))</f>
        <v>III kw.
2020</v>
      </c>
      <c r="B614" s="716" t="s">
        <v>406</v>
      </c>
      <c r="C614" s="716" t="s">
        <v>983</v>
      </c>
      <c r="D614" s="716"/>
    </row>
    <row r="615" spans="1:4" ht="32.25">
      <c r="A615" s="715" t="str">
        <f>IF(ster!$A$1=1,names!B615,IF(ster!$A$1=2,names!C615))</f>
        <v>IV kw.
2020</v>
      </c>
      <c r="B615" s="716" t="s">
        <v>407</v>
      </c>
      <c r="C615" s="716" t="s">
        <v>985</v>
      </c>
      <c r="D615" s="716"/>
    </row>
    <row r="616" spans="1:4" ht="32.25">
      <c r="A616" s="715" t="str">
        <f>IF(ster!$A$1=1,names!B616,IF(ster!$A$1=2,names!C616))</f>
        <v>12 m-cy
2020</v>
      </c>
      <c r="B616" s="716" t="s">
        <v>408</v>
      </c>
      <c r="C616" s="716" t="s">
        <v>856</v>
      </c>
      <c r="D616" s="716"/>
    </row>
    <row r="617" spans="1:4" ht="32.25">
      <c r="A617" s="715" t="str">
        <f>IF(ster!$A$1=1,names!B617,IF(ster!$A$1=2,names!C617))</f>
        <v>I kw.
2021*</v>
      </c>
      <c r="B617" s="716" t="s">
        <v>506</v>
      </c>
      <c r="C617" s="716" t="s">
        <v>1011</v>
      </c>
      <c r="D617" s="716"/>
    </row>
    <row r="618" spans="1:4" ht="32.25">
      <c r="A618" s="715" t="str">
        <f>IF(ster!$A$1=1,names!B618,IF(ster!$A$1=2,names!C618))</f>
        <v>II kw.
2021*</v>
      </c>
      <c r="B618" s="716" t="s">
        <v>595</v>
      </c>
      <c r="C618" s="716" t="s">
        <v>1103</v>
      </c>
      <c r="D618" s="716"/>
    </row>
    <row r="619" spans="1:4" ht="32.25">
      <c r="A619" s="715" t="str">
        <f>IF(ster!$A$1=1,names!B619,IF(ster!$A$1=2,names!C619))</f>
        <v>III kw.
2021*</v>
      </c>
      <c r="B619" s="716" t="s">
        <v>599</v>
      </c>
      <c r="C619" s="716" t="s">
        <v>961</v>
      </c>
      <c r="D619" s="716"/>
    </row>
    <row r="620" spans="1:4" ht="32.25">
      <c r="A620" s="715" t="str">
        <f>IF(ster!$A$1=1,names!B620,IF(ster!$A$1=2,names!C620))</f>
        <v>IV kw.
2021</v>
      </c>
      <c r="B620" s="716" t="s">
        <v>489</v>
      </c>
      <c r="C620" s="716" t="s">
        <v>963</v>
      </c>
      <c r="D620" s="716"/>
    </row>
    <row r="621" spans="1:4" ht="32.25">
      <c r="A621" s="715" t="str">
        <f>IF(ster!$A$1=1,names!B621,IF(ster!$A$1=2,names!C621))</f>
        <v>12 m-cy
2021</v>
      </c>
      <c r="B621" s="716" t="s">
        <v>490</v>
      </c>
      <c r="C621" s="716" t="s">
        <v>857</v>
      </c>
      <c r="D621" s="716"/>
    </row>
    <row r="622" spans="1:4">
      <c r="A622" s="715">
        <f>IF(ster!$A$1=1,names!B622,IF(ster!$A$1=2,names!C622))</f>
        <v>0</v>
      </c>
      <c r="B622" s="716"/>
      <c r="C622" s="716"/>
      <c r="D622" s="716"/>
    </row>
    <row r="623" spans="1:4">
      <c r="A623" s="715" t="str">
        <f>IF(ster!$A$1=1,names!B623,IF(ster!$A$1=2,names!C623))</f>
        <v>Skonsolidowane sprawozdanie z sytuacji finansowej</v>
      </c>
      <c r="B623" s="717" t="s">
        <v>266</v>
      </c>
      <c r="C623" s="716" t="s">
        <v>1104</v>
      </c>
      <c r="D623" s="716"/>
    </row>
    <row r="624" spans="1:4">
      <c r="A624" s="715">
        <f>IF(ster!$A$1=1,names!B624,IF(ster!$A$1=2,names!C624))</f>
        <v>0</v>
      </c>
      <c r="B624" s="716"/>
      <c r="C624" s="716"/>
      <c r="D624" s="716"/>
    </row>
    <row r="625" spans="1:4" ht="32.25">
      <c r="A625" s="715" t="str">
        <f>IF(ster!$A$1=1,names!B625,IF(ster!$A$1=2,names!C625))</f>
        <v>Wyszczególnienie, 
mln PLN</v>
      </c>
      <c r="B625" s="716" t="s">
        <v>161</v>
      </c>
      <c r="C625" s="716" t="s">
        <v>948</v>
      </c>
      <c r="D625" s="716"/>
    </row>
    <row r="626" spans="1:4">
      <c r="A626" s="715">
        <f>IF(ster!$A$1=1,names!B626,IF(ster!$A$1=2,names!C626))</f>
        <v>0</v>
      </c>
      <c r="B626" s="716"/>
      <c r="C626" s="716"/>
      <c r="D626" s="716"/>
    </row>
    <row r="627" spans="1:4">
      <c r="A627" s="715" t="str">
        <f>IF(ster!$A$1=1,names!B627,IF(ster!$A$1=2,names!C627))</f>
        <v>AKTYWA</v>
      </c>
      <c r="B627" s="716" t="s">
        <v>62</v>
      </c>
      <c r="C627" s="716" t="s">
        <v>1105</v>
      </c>
      <c r="D627" s="716"/>
    </row>
    <row r="628" spans="1:4">
      <c r="A628" s="715" t="str">
        <f>IF(ster!$A$1=1,names!B628,IF(ster!$A$1=2,names!C628))</f>
        <v>Rzeczowe aktywa trwałe</v>
      </c>
      <c r="B628" s="716" t="s">
        <v>63</v>
      </c>
      <c r="C628" s="716" t="s">
        <v>1106</v>
      </c>
      <c r="D628" s="716"/>
    </row>
    <row r="629" spans="1:4">
      <c r="A629" s="715" t="str">
        <f>IF(ster!$A$1=1,names!B629,IF(ster!$A$1=2,names!C629))</f>
        <v>Wartości niematerialne oraz wartość firmy</v>
      </c>
      <c r="B629" s="716" t="s">
        <v>683</v>
      </c>
      <c r="C629" s="716" t="s">
        <v>1107</v>
      </c>
      <c r="D629" s="716"/>
    </row>
    <row r="630" spans="1:4">
      <c r="A630" s="715" t="str">
        <f>IF(ster!$A$1=1,names!B630,IF(ster!$A$1=2,names!C630))</f>
        <v>Aktywa z tytułu praw do użytkowania</v>
      </c>
      <c r="B630" s="716" t="s">
        <v>375</v>
      </c>
      <c r="C630" s="716" t="s">
        <v>1108</v>
      </c>
      <c r="D630" s="716"/>
    </row>
    <row r="631" spans="1:4">
      <c r="A631" s="715" t="str">
        <f>IF(ster!$A$1=1,names!B631,IF(ster!$A$1=2,names!C631))</f>
        <v>Inwestycje wyceniane metodą praw własności</v>
      </c>
      <c r="B631" s="716" t="s">
        <v>292</v>
      </c>
      <c r="C631" s="716" t="s">
        <v>1109</v>
      </c>
      <c r="D631" s="716"/>
    </row>
    <row r="632" spans="1:4">
      <c r="A632" s="715" t="str">
        <f>IF(ster!$A$1=1,names!B632,IF(ster!$A$1=2,names!C632))</f>
        <v>Aktywa z tytułu podatku odroczonego</v>
      </c>
      <c r="B632" s="716" t="s">
        <v>23</v>
      </c>
      <c r="C632" s="716" t="s">
        <v>1110</v>
      </c>
      <c r="D632" s="716"/>
    </row>
    <row r="633" spans="1:4">
      <c r="A633" s="715" t="str">
        <f>IF(ster!$A$1=1,names!B633,IF(ster!$A$1=2,names!C633))</f>
        <v>Zapasy obowiązkowe</v>
      </c>
      <c r="B633" s="716" t="s">
        <v>1640</v>
      </c>
      <c r="C633" s="716" t="s">
        <v>1641</v>
      </c>
      <c r="D633" s="716"/>
    </row>
    <row r="634" spans="1:4">
      <c r="A634" s="715" t="str">
        <f>IF(ster!$A$1=1,names!B634,IF(ster!$A$1=2,names!C634))</f>
        <v>Instrumenty pochodne</v>
      </c>
      <c r="B634" s="716" t="s">
        <v>341</v>
      </c>
      <c r="C634" s="716" t="s">
        <v>1111</v>
      </c>
      <c r="D634" s="716"/>
    </row>
    <row r="635" spans="1:4">
      <c r="A635" s="715" t="str">
        <f>IF(ster!$A$1=1,names!B635,IF(ster!$A$1=2,names!C635))</f>
        <v>Należności długoterminowe z tytułu leasingu</v>
      </c>
      <c r="B635" s="716" t="s">
        <v>372</v>
      </c>
      <c r="C635" s="716" t="s">
        <v>1112</v>
      </c>
      <c r="D635" s="716"/>
    </row>
    <row r="636" spans="1:4">
      <c r="A636" s="715" t="str">
        <f>IF(ster!$A$1=1,names!B636,IF(ster!$A$1=2,names!C636))</f>
        <v>Pozostałe aktywa</v>
      </c>
      <c r="B636" s="716" t="s">
        <v>295</v>
      </c>
      <c r="C636" s="716" t="s">
        <v>1113</v>
      </c>
      <c r="D636" s="716"/>
    </row>
    <row r="637" spans="1:4">
      <c r="A637" s="715" t="str">
        <f>IF(ster!$A$1=1,names!B637,IF(ster!$A$1=2,names!C637))</f>
        <v>Aktywa trwałe</v>
      </c>
      <c r="B637" s="716" t="s">
        <v>103</v>
      </c>
      <c r="C637" s="716" t="s">
        <v>1114</v>
      </c>
      <c r="D637" s="716"/>
    </row>
    <row r="638" spans="1:4">
      <c r="A638" s="715" t="str">
        <f>IF(ster!$A$1=1,names!B638,IF(ster!$A$1=2,names!C638))</f>
        <v>Zapasy</v>
      </c>
      <c r="B638" s="716" t="s">
        <v>66</v>
      </c>
      <c r="C638" s="716" t="s">
        <v>1115</v>
      </c>
      <c r="D638" s="716"/>
    </row>
    <row r="639" spans="1:4">
      <c r="A639" s="715" t="str">
        <f>IF(ster!$A$1=1,names!B639,IF(ster!$A$1=2,names!C639))</f>
        <v>Należności z tytułu dostaw i usług oraz pozostałe należności</v>
      </c>
      <c r="B639" s="716" t="s">
        <v>42</v>
      </c>
      <c r="C639" s="716" t="s">
        <v>1116</v>
      </c>
      <c r="D639" s="716"/>
    </row>
    <row r="640" spans="1:4">
      <c r="A640" s="715" t="str">
        <f>IF(ster!$A$1=1,names!B640,IF(ster!$A$1=2,names!C640))</f>
        <v>Należności z tytułu podatku dochodowego</v>
      </c>
      <c r="B640" s="716" t="s">
        <v>43</v>
      </c>
      <c r="C640" s="716" t="s">
        <v>1117</v>
      </c>
      <c r="D640" s="716"/>
    </row>
    <row r="641" spans="1:4">
      <c r="A641" s="715" t="str">
        <f>IF(ster!$A$1=1,names!B641,IF(ster!$A$1=2,names!C641))</f>
        <v>Środki pieniężne</v>
      </c>
      <c r="B641" s="716" t="s">
        <v>1825</v>
      </c>
      <c r="C641" s="716" t="s">
        <v>1118</v>
      </c>
      <c r="D641" s="716"/>
    </row>
    <row r="642" spans="1:4">
      <c r="A642" s="715" t="str">
        <f>IF(ster!$A$1=1,names!B642,IF(ster!$A$1=2,names!C642))</f>
        <v>Instrumenty pochodne</v>
      </c>
      <c r="B642" s="716" t="s">
        <v>341</v>
      </c>
      <c r="C642" s="716" t="s">
        <v>1111</v>
      </c>
      <c r="D642" s="716"/>
    </row>
    <row r="643" spans="1:4">
      <c r="A643" s="715" t="str">
        <f>IF(ster!$A$1=1,names!B643,IF(ster!$A$1=2,names!C643))</f>
        <v>Należności krótkoterminowe z tytułu leasingu</v>
      </c>
      <c r="B643" s="716" t="s">
        <v>373</v>
      </c>
      <c r="C643" s="716" t="s">
        <v>1119</v>
      </c>
      <c r="D643" s="716"/>
    </row>
    <row r="644" spans="1:4">
      <c r="A644" s="715" t="str">
        <f>IF(ster!$A$1=1,names!B644,IF(ster!$A$1=2,names!C644))</f>
        <v>Pozostałe aktywa</v>
      </c>
      <c r="B644" s="716" t="s">
        <v>295</v>
      </c>
      <c r="C644" s="716" t="s">
        <v>1113</v>
      </c>
      <c r="D644" s="716"/>
    </row>
    <row r="645" spans="1:4">
      <c r="A645" s="715" t="str">
        <f>IF(ster!$A$1=1,names!B645,IF(ster!$A$1=2,names!C645))</f>
        <v>Aktywa przeznaczone do sprzedaży</v>
      </c>
      <c r="B645" s="716" t="s">
        <v>1826</v>
      </c>
      <c r="C645" s="716" t="s">
        <v>1120</v>
      </c>
      <c r="D645" s="716"/>
    </row>
    <row r="646" spans="1:4">
      <c r="A646" s="715" t="str">
        <f>IF(ster!$A$1=1,names!B646,IF(ster!$A$1=2,names!C646))</f>
        <v>Aktywa obrotowe</v>
      </c>
      <c r="B646" s="716" t="s">
        <v>65</v>
      </c>
      <c r="C646" s="716" t="s">
        <v>1121</v>
      </c>
      <c r="D646" s="716"/>
    </row>
    <row r="647" spans="1:4">
      <c r="A647" s="715" t="str">
        <f>IF(ster!$A$1=1,names!B647,IF(ster!$A$1=2,names!C647))</f>
        <v>Aktywa razem</v>
      </c>
      <c r="B647" s="716" t="s">
        <v>67</v>
      </c>
      <c r="C647" s="716" t="s">
        <v>924</v>
      </c>
      <c r="D647" s="716"/>
    </row>
    <row r="648" spans="1:4">
      <c r="A648" s="715" t="str">
        <f>IF(ster!$A$1=1,names!B648,IF(ster!$A$1=2,names!C648))</f>
        <v>PASYWA</v>
      </c>
      <c r="B648" s="716" t="s">
        <v>68</v>
      </c>
      <c r="C648" s="716" t="s">
        <v>1122</v>
      </c>
      <c r="D648" s="716"/>
    </row>
    <row r="649" spans="1:4">
      <c r="A649" s="715" t="str">
        <f>IF(ster!$A$1=1,names!B649,IF(ster!$A$1=2,names!C649))</f>
        <v>KAPITAŁ WŁASNY</v>
      </c>
      <c r="B649" s="716" t="s">
        <v>106</v>
      </c>
      <c r="C649" s="716" t="s">
        <v>1123</v>
      </c>
      <c r="D649" s="716"/>
    </row>
    <row r="650" spans="1:4">
      <c r="A650" s="715" t="str">
        <f>IF(ster!$A$1=1,names!B650,IF(ster!$A$1=2,names!C650))</f>
        <v>Kapitał podstawowy</v>
      </c>
      <c r="B650" s="716" t="s">
        <v>81</v>
      </c>
      <c r="C650" s="716" t="s">
        <v>1124</v>
      </c>
      <c r="D650" s="716"/>
    </row>
    <row r="651" spans="1:4">
      <c r="A651" s="715" t="str">
        <f>IF(ster!$A$1=1,names!B651,IF(ster!$A$1=2,names!C651))</f>
        <v>Kapitał z emisji akcji powyżej ich wartości nominalnej</v>
      </c>
      <c r="B651" s="716" t="s">
        <v>69</v>
      </c>
      <c r="C651" s="716" t="s">
        <v>1125</v>
      </c>
      <c r="D651" s="716"/>
    </row>
    <row r="652" spans="1:4">
      <c r="A652" s="715" t="str">
        <f>IF(ster!$A$1=1,names!B652,IF(ster!$A$1=2,names!C652))</f>
        <v>Inne składniki kapitału własnego</v>
      </c>
      <c r="B652" s="716" t="s">
        <v>1827</v>
      </c>
      <c r="C652" s="716" t="s">
        <v>1828</v>
      </c>
      <c r="D652" s="716"/>
    </row>
    <row r="653" spans="1:4">
      <c r="A653" s="715" t="str">
        <f>IF(ster!$A$1=1,names!B653,IF(ster!$A$1=2,names!C653))</f>
        <v xml:space="preserve">Kapitał z tytułu stosowania rachunkowości zabezpieczeń </v>
      </c>
      <c r="B653" s="716" t="s">
        <v>44</v>
      </c>
      <c r="C653" s="716" t="s">
        <v>1126</v>
      </c>
      <c r="D653" s="716"/>
    </row>
    <row r="654" spans="1:4">
      <c r="A654" s="715" t="str">
        <f>IF(ster!$A$1=1,names!B654,IF(ster!$A$1=2,names!C654))</f>
        <v>Kapitał z aktualizacji wyceny</v>
      </c>
      <c r="B654" s="716" t="s">
        <v>60</v>
      </c>
      <c r="C654" s="716" t="s">
        <v>1127</v>
      </c>
      <c r="D654" s="716"/>
    </row>
    <row r="655" spans="1:4">
      <c r="A655" s="715" t="str">
        <f>IF(ster!$A$1=1,names!B655,IF(ster!$A$1=2,names!C655))</f>
        <v>Różnice kursowe z przeliczenia jednostek działających za granicą</v>
      </c>
      <c r="B655" s="716" t="s">
        <v>313</v>
      </c>
      <c r="C655" s="716" t="s">
        <v>1128</v>
      </c>
      <c r="D655" s="716"/>
    </row>
    <row r="656" spans="1:4">
      <c r="A656" s="715" t="str">
        <f>IF(ster!$A$1=1,names!B656,IF(ster!$A$1=2,names!C656))</f>
        <v>Zyski zatrzymane</v>
      </c>
      <c r="B656" s="716" t="s">
        <v>22</v>
      </c>
      <c r="C656" s="716" t="s">
        <v>1129</v>
      </c>
      <c r="D656" s="716"/>
    </row>
    <row r="657" spans="1:4" ht="32.25">
      <c r="A657" s="715" t="str">
        <f>IF(ster!$A$1=1,names!B657,IF(ster!$A$1=2,names!C657))</f>
        <v>Kapitał własny przypadający na akcjonariuszy jednostki dominującej</v>
      </c>
      <c r="B657" s="716" t="s">
        <v>107</v>
      </c>
      <c r="C657" s="716" t="s">
        <v>1130</v>
      </c>
      <c r="D657" s="716"/>
    </row>
    <row r="658" spans="1:4">
      <c r="A658" s="715" t="str">
        <f>IF(ster!$A$1=1,names!B658,IF(ster!$A$1=2,names!C658))</f>
        <v>Kapitał własny przypadający udziałom niekontrolującym</v>
      </c>
      <c r="B658" s="716" t="s">
        <v>82</v>
      </c>
      <c r="C658" s="716" t="s">
        <v>1131</v>
      </c>
      <c r="D658" s="716"/>
    </row>
    <row r="659" spans="1:4">
      <c r="A659" s="715" t="str">
        <f>IF(ster!$A$1=1,names!B659,IF(ster!$A$1=2,names!C659))</f>
        <v>Kapitał własny razem</v>
      </c>
      <c r="B659" s="716" t="s">
        <v>73</v>
      </c>
      <c r="C659" s="716" t="s">
        <v>1132</v>
      </c>
      <c r="D659" s="716"/>
    </row>
    <row r="660" spans="1:4">
      <c r="A660" s="715" t="str">
        <f>IF(ster!$A$1=1,names!B660,IF(ster!$A$1=2,names!C660))</f>
        <v>ZOBOWIĄZANIA</v>
      </c>
      <c r="B660" s="716" t="s">
        <v>108</v>
      </c>
      <c r="C660" s="716" t="s">
        <v>1133</v>
      </c>
      <c r="D660" s="716"/>
    </row>
    <row r="661" spans="1:4">
      <c r="A661" s="715" t="str">
        <f>IF(ster!$A$1=1,names!B661,IF(ster!$A$1=2,names!C661))</f>
        <v>Kredyty, pożyczki i obligacje</v>
      </c>
      <c r="B661" s="716" t="s">
        <v>293</v>
      </c>
      <c r="C661" s="716" t="s">
        <v>1134</v>
      </c>
      <c r="D661" s="716"/>
    </row>
    <row r="662" spans="1:4">
      <c r="A662" s="715" t="str">
        <f>IF(ster!$A$1=1,names!B662,IF(ster!$A$1=2,names!C662))</f>
        <v xml:space="preserve">Rezerwy </v>
      </c>
      <c r="B662" s="716" t="s">
        <v>45</v>
      </c>
      <c r="C662" s="716" t="s">
        <v>1135</v>
      </c>
      <c r="D662" s="716"/>
    </row>
    <row r="663" spans="1:4">
      <c r="A663" s="715" t="str">
        <f>IF(ster!$A$1=1,names!B663,IF(ster!$A$1=2,names!C663))</f>
        <v>Zobowiązania z tytułu podatku odroczonego</v>
      </c>
      <c r="B663" s="716" t="s">
        <v>141</v>
      </c>
      <c r="C663" s="716" t="s">
        <v>1136</v>
      </c>
      <c r="D663" s="716"/>
    </row>
    <row r="664" spans="1:4">
      <c r="A664" s="715" t="str">
        <f>IF(ster!$A$1=1,names!B664,IF(ster!$A$1=2,names!C664))</f>
        <v>Instrumenty pochodne</v>
      </c>
      <c r="B664" s="716" t="s">
        <v>341</v>
      </c>
      <c r="C664" s="716" t="s">
        <v>1111</v>
      </c>
      <c r="D664" s="716"/>
    </row>
    <row r="665" spans="1:4">
      <c r="A665" s="715" t="str">
        <f>IF(ster!$A$1=1,names!B665,IF(ster!$A$1=2,names!C665))</f>
        <v>Zobowiązania z tytułu leasingu</v>
      </c>
      <c r="B665" s="716" t="s">
        <v>374</v>
      </c>
      <c r="C665" s="716" t="s">
        <v>1137</v>
      </c>
      <c r="D665" s="716"/>
    </row>
    <row r="666" spans="1:4">
      <c r="A666" s="715" t="str">
        <f>IF(ster!$A$1=1,names!B666,IF(ster!$A$1=2,names!C666))</f>
        <v>Pozostałe zobowiązania</v>
      </c>
      <c r="B666" s="716" t="s">
        <v>314</v>
      </c>
      <c r="C666" s="716" t="s">
        <v>1138</v>
      </c>
      <c r="D666" s="716"/>
    </row>
    <row r="667" spans="1:4">
      <c r="A667" s="715" t="str">
        <f>IF(ster!$A$1=1,names!B667,IF(ster!$A$1=2,names!C667))</f>
        <v>Zobowiązania z tytułu umów z klientami</v>
      </c>
      <c r="B667" s="716" t="s">
        <v>342</v>
      </c>
      <c r="C667" s="716" t="s">
        <v>1139</v>
      </c>
      <c r="D667" s="716"/>
    </row>
    <row r="668" spans="1:4">
      <c r="A668" s="715" t="str">
        <f>IF(ster!$A$1=1,names!B668,IF(ster!$A$1=2,names!C668))</f>
        <v>Zobowiązania długoterminowe</v>
      </c>
      <c r="B668" s="716" t="s">
        <v>74</v>
      </c>
      <c r="C668" s="716" t="s">
        <v>1140</v>
      </c>
      <c r="D668" s="716"/>
    </row>
    <row r="669" spans="1:4" ht="32.25">
      <c r="A669" s="715" t="str">
        <f>IF(ster!$A$1=1,names!B669,IF(ster!$A$1=2,names!C669))</f>
        <v>Zobowiązania z tytułu dostaw i usług oraz pozostałe zobowiązania</v>
      </c>
      <c r="B669" s="716" t="s">
        <v>83</v>
      </c>
      <c r="C669" s="716" t="s">
        <v>1141</v>
      </c>
      <c r="D669" s="716"/>
    </row>
    <row r="670" spans="1:4">
      <c r="A670" s="715" t="str">
        <f>IF(ster!$A$1=1,names!B670,IF(ster!$A$1=2,names!C670))</f>
        <v>Zobowiązania z tytułu leasingu</v>
      </c>
      <c r="B670" s="716" t="s">
        <v>374</v>
      </c>
      <c r="C670" s="716" t="s">
        <v>1137</v>
      </c>
      <c r="D670" s="716"/>
    </row>
    <row r="671" spans="1:4">
      <c r="A671" s="715" t="str">
        <f>IF(ster!$A$1=1,names!B671,IF(ster!$A$1=2,names!C671))</f>
        <v>Zobowiązania z tytułu umów z klientami</v>
      </c>
      <c r="B671" s="716" t="s">
        <v>342</v>
      </c>
      <c r="C671" s="716" t="s">
        <v>1139</v>
      </c>
      <c r="D671" s="716"/>
    </row>
    <row r="672" spans="1:4">
      <c r="A672" s="715" t="str">
        <f>IF(ster!$A$1=1,names!B672,IF(ster!$A$1=2,names!C672))</f>
        <v>Kredyty, pożyczki i obligacje</v>
      </c>
      <c r="B672" s="716" t="s">
        <v>293</v>
      </c>
      <c r="C672" s="716" t="s">
        <v>1134</v>
      </c>
      <c r="D672" s="716"/>
    </row>
    <row r="673" spans="1:4">
      <c r="A673" s="715" t="str">
        <f>IF(ster!$A$1=1,names!B673,IF(ster!$A$1=2,names!C673))</f>
        <v>Rezerwy</v>
      </c>
      <c r="B673" s="716" t="s">
        <v>75</v>
      </c>
      <c r="C673" s="716" t="s">
        <v>1135</v>
      </c>
      <c r="D673" s="716"/>
    </row>
    <row r="674" spans="1:4">
      <c r="A674" s="715" t="str">
        <f>IF(ster!$A$1=1,names!B674,IF(ster!$A$1=2,names!C674))</f>
        <v>Zobowiązania z tytułu podatku dochodowego</v>
      </c>
      <c r="B674" s="716" t="s">
        <v>315</v>
      </c>
      <c r="C674" s="716" t="s">
        <v>1142</v>
      </c>
      <c r="D674" s="716"/>
    </row>
    <row r="675" spans="1:4">
      <c r="A675" s="715" t="str">
        <f>IF(ster!$A$1=1,names!B675,IF(ster!$A$1=2,names!C675))</f>
        <v>Instrumenty pochodne</v>
      </c>
      <c r="B675" s="716" t="s">
        <v>341</v>
      </c>
      <c r="C675" s="716" t="s">
        <v>1111</v>
      </c>
      <c r="D675" s="716"/>
    </row>
    <row r="676" spans="1:4">
      <c r="A676" s="715" t="str">
        <f>IF(ster!$A$1=1,names!B676,IF(ster!$A$1=2,names!C676))</f>
        <v>Pozostałe zobowiązania</v>
      </c>
      <c r="B676" s="716" t="s">
        <v>314</v>
      </c>
      <c r="C676" s="716" t="s">
        <v>1138</v>
      </c>
      <c r="D676" s="716"/>
    </row>
    <row r="677" spans="1:4">
      <c r="A677" s="715" t="str">
        <f>IF(ster!$A$1=1,names!B677,IF(ster!$A$1=2,names!C677))</f>
        <v>Zobowiązania krótkoterminowe</v>
      </c>
      <c r="B677" s="716" t="s">
        <v>76</v>
      </c>
      <c r="C677" s="716" t="s">
        <v>1143</v>
      </c>
      <c r="D677" s="716"/>
    </row>
    <row r="678" spans="1:4">
      <c r="A678" s="715" t="str">
        <f>IF(ster!$A$1=1,names!B678,IF(ster!$A$1=2,names!C678))</f>
        <v>Zobowiązania razem</v>
      </c>
      <c r="B678" s="716" t="s">
        <v>111</v>
      </c>
      <c r="C678" s="716" t="s">
        <v>1144</v>
      </c>
      <c r="D678" s="716"/>
    </row>
    <row r="679" spans="1:4">
      <c r="A679" s="715" t="str">
        <f>IF(ster!$A$1=1,names!B679,IF(ster!$A$1=2,names!C679))</f>
        <v>Pasywa razem</v>
      </c>
      <c r="B679" s="716" t="s">
        <v>79</v>
      </c>
      <c r="C679" s="716" t="s">
        <v>1145</v>
      </c>
      <c r="D679" s="716"/>
    </row>
    <row r="680" spans="1:4">
      <c r="A680" s="715">
        <f>IF(ster!$A$1=1,names!B680,IF(ster!$A$1=2,names!C680))</f>
        <v>0</v>
      </c>
      <c r="B680" s="716"/>
      <c r="C680" s="716"/>
      <c r="D680" s="716"/>
    </row>
    <row r="681" spans="1:4">
      <c r="A681" s="715" t="str">
        <f>IF(ster!$A$1=1,names!B681,IF(ster!$A$1=2,names!C681))</f>
        <v>*) Dane przekształcone.</v>
      </c>
      <c r="B681" s="716" t="s">
        <v>457</v>
      </c>
      <c r="C681" s="716" t="s">
        <v>1005</v>
      </c>
      <c r="D681" s="716"/>
    </row>
    <row r="682" spans="1:4">
      <c r="A682" s="715">
        <f>IF(ster!$A$1=1,names!B682,IF(ster!$A$1=2,names!C682))</f>
        <v>0</v>
      </c>
      <c r="B682" s="716"/>
      <c r="C682" s="716"/>
      <c r="D682" s="716"/>
    </row>
    <row r="683" spans="1:4">
      <c r="A683" s="715" t="str">
        <f>IF(ster!$A$1=1,names!B683,IF(ster!$A$1=2,names!C683))</f>
        <v>Skonsolidowane sprawozdanie z przepływów pieniężnych</v>
      </c>
      <c r="B683" s="717" t="s">
        <v>267</v>
      </c>
      <c r="C683" s="716" t="s">
        <v>1146</v>
      </c>
      <c r="D683" s="716"/>
    </row>
    <row r="684" spans="1:4">
      <c r="A684" s="715">
        <f>IF(ster!$A$1=1,names!B684,IF(ster!$A$1=2,names!C684))</f>
        <v>0</v>
      </c>
      <c r="B684" s="716"/>
      <c r="C684" s="716"/>
      <c r="D684" s="716"/>
    </row>
    <row r="685" spans="1:4" ht="32.25">
      <c r="A685" s="715" t="str">
        <f>IF(ster!$A$1=1,names!B685,IF(ster!$A$1=2,names!C685))</f>
        <v>Wyszczególnienie, 
mln PLN</v>
      </c>
      <c r="B685" s="716" t="s">
        <v>161</v>
      </c>
      <c r="C685" s="716" t="s">
        <v>948</v>
      </c>
      <c r="D685" s="716"/>
    </row>
    <row r="686" spans="1:4">
      <c r="A686" s="715">
        <f>IF(ster!$A$1=1,names!B686,IF(ster!$A$1=2,names!C686))</f>
        <v>0</v>
      </c>
      <c r="B686" s="716"/>
      <c r="C686" s="716"/>
      <c r="D686" s="716"/>
    </row>
    <row r="687" spans="1:4">
      <c r="A687" s="715" t="str">
        <f>IF(ster!$A$1=1,names!B687,IF(ster!$A$1=2,names!C687))</f>
        <v>Przepływy pieniężne z działalności operacyjnej</v>
      </c>
      <c r="B687" s="716" t="s">
        <v>80</v>
      </c>
      <c r="C687" s="716" t="s">
        <v>1147</v>
      </c>
      <c r="D687" s="716"/>
    </row>
    <row r="688" spans="1:4">
      <c r="A688" s="715" t="str">
        <f>IF(ster!$A$1=1,names!B688,IF(ster!$A$1=2,names!C688))</f>
        <v>Zysk/(Strata) przed opodatkowaniem</v>
      </c>
      <c r="B688" s="716" t="s">
        <v>125</v>
      </c>
      <c r="C688" s="716" t="s">
        <v>1081</v>
      </c>
      <c r="D688" s="716"/>
    </row>
    <row r="689" spans="1:4">
      <c r="A689" s="715" t="str">
        <f>IF(ster!$A$1=1,names!B689,IF(ster!$A$1=2,names!C689))</f>
        <v>Korekty o pozycje:</v>
      </c>
      <c r="B689" s="716" t="s">
        <v>90</v>
      </c>
      <c r="C689" s="716" t="s">
        <v>1148</v>
      </c>
      <c r="D689" s="716"/>
    </row>
    <row r="690" spans="1:4" ht="32.25">
      <c r="A690" s="715" t="str">
        <f>IF(ster!$A$1=1,names!B690,IF(ster!$A$1=2,names!C690))</f>
        <v>Udział w wyniku finansowym jednostek wycenianych metodą praw własności</v>
      </c>
      <c r="B690" s="716" t="s">
        <v>24</v>
      </c>
      <c r="C690" s="716" t="s">
        <v>996</v>
      </c>
      <c r="D690" s="716"/>
    </row>
    <row r="691" spans="1:4">
      <c r="A691" s="715" t="str">
        <f>IF(ster!$A$1=1,names!B691,IF(ster!$A$1=2,names!C691))</f>
        <v>Amortyzacja</v>
      </c>
      <c r="B691" s="716" t="s">
        <v>91</v>
      </c>
      <c r="C691" s="716" t="s">
        <v>1149</v>
      </c>
      <c r="D691" s="716"/>
    </row>
    <row r="692" spans="1:4">
      <c r="A692" s="715" t="str">
        <f>IF(ster!$A$1=1,names!B692,IF(ster!$A$1=2,names!C692))</f>
        <v>(Zysk)/Strata z tytułu różnic kursowych</v>
      </c>
      <c r="B692" s="716" t="s">
        <v>124</v>
      </c>
      <c r="C692" s="716" t="s">
        <v>1150</v>
      </c>
      <c r="D692" s="716"/>
    </row>
    <row r="693" spans="1:4">
      <c r="A693" s="715" t="str">
        <f>IF(ster!$A$1=1,names!B693,IF(ster!$A$1=2,names!C693))</f>
        <v>Odsetki netto i dywidendy</v>
      </c>
      <c r="B693" s="716" t="s">
        <v>1648</v>
      </c>
      <c r="C693" s="716" t="s">
        <v>1649</v>
      </c>
      <c r="D693" s="716"/>
    </row>
    <row r="694" spans="1:4">
      <c r="A694" s="715" t="str">
        <f>IF(ster!$A$1=1,names!B694,IF(ster!$A$1=2,names!C694))</f>
        <v>Dywidendy</v>
      </c>
      <c r="B694" s="716" t="s">
        <v>19</v>
      </c>
      <c r="C694" s="716" t="s">
        <v>1152</v>
      </c>
      <c r="D694" s="716"/>
    </row>
    <row r="695" spans="1:4">
      <c r="A695" s="715" t="str">
        <f>IF(ster!$A$1=1,names!B695,IF(ster!$A$1=2,names!C695))</f>
        <v>(Zysk)/Strata na działalności inwestycyjnej</v>
      </c>
      <c r="B695" s="716" t="s">
        <v>144</v>
      </c>
      <c r="C695" s="716" t="s">
        <v>1153</v>
      </c>
      <c r="D695" s="716"/>
    </row>
    <row r="696" spans="1:4">
      <c r="A696" s="715" t="str">
        <f>IF(ster!$A$1=1,names!B696,IF(ster!$A$1=2,names!C696))</f>
        <v xml:space="preserve">Zmiana stanu rezerw </v>
      </c>
      <c r="B696" s="716" t="s">
        <v>27</v>
      </c>
      <c r="C696" s="716" t="s">
        <v>1154</v>
      </c>
      <c r="D696" s="716"/>
    </row>
    <row r="697" spans="1:4">
      <c r="A697" s="715" t="str">
        <f>IF(ster!$A$1=1,names!B697,IF(ster!$A$1=2,names!C697))</f>
        <v>Zmiana stanu kapitału pracującego</v>
      </c>
      <c r="B697" s="716" t="s">
        <v>112</v>
      </c>
      <c r="C697" s="716" t="s">
        <v>1155</v>
      </c>
      <c r="D697" s="716"/>
    </row>
    <row r="698" spans="1:4">
      <c r="A698" s="715" t="str">
        <f>IF(ster!$A$1=1,names!B698,IF(ster!$A$1=2,names!C698))</f>
        <v>zapasy</v>
      </c>
      <c r="B698" s="716" t="s">
        <v>113</v>
      </c>
      <c r="C698" s="716" t="s">
        <v>1156</v>
      </c>
      <c r="D698" s="716"/>
    </row>
    <row r="699" spans="1:4">
      <c r="A699" s="715" t="str">
        <f>IF(ster!$A$1=1,names!B699,IF(ster!$A$1=2,names!C699))</f>
        <v>należności</v>
      </c>
      <c r="B699" s="716" t="s">
        <v>114</v>
      </c>
      <c r="C699" s="716" t="s">
        <v>1157</v>
      </c>
      <c r="D699" s="716"/>
    </row>
    <row r="700" spans="1:4">
      <c r="A700" s="715" t="str">
        <f>IF(ster!$A$1=1,names!B700,IF(ster!$A$1=2,names!C700))</f>
        <v>zobowiązania</v>
      </c>
      <c r="B700" s="716" t="s">
        <v>115</v>
      </c>
      <c r="C700" s="716" t="s">
        <v>1158</v>
      </c>
      <c r="D700" s="716"/>
    </row>
    <row r="701" spans="1:4">
      <c r="A701" s="715" t="str">
        <f>IF(ster!$A$1=1,names!B701,IF(ster!$A$1=2,names!C701))</f>
        <v>Pozostałe korekty, w tym:</v>
      </c>
      <c r="B701" s="716" t="s">
        <v>320</v>
      </c>
      <c r="C701" s="716" t="s">
        <v>1159</v>
      </c>
      <c r="D701" s="716"/>
    </row>
    <row r="702" spans="1:4">
      <c r="A702" s="715" t="str">
        <f>IF(ster!$A$1=1,names!B702,IF(ster!$A$1=2,names!C702))</f>
        <v>rozliczenie dotacji na prawa majątkowe</v>
      </c>
      <c r="B702" s="716" t="s">
        <v>503</v>
      </c>
      <c r="C702" s="716" t="s">
        <v>1160</v>
      </c>
      <c r="D702" s="716"/>
    </row>
    <row r="703" spans="1:4">
      <c r="A703" s="715" t="str">
        <f>IF(ster!$A$1=1,names!B703,IF(ster!$A$1=2,names!C703))</f>
        <v>depozyty zabezpieczające</v>
      </c>
      <c r="B703" s="716" t="s">
        <v>400</v>
      </c>
      <c r="C703" s="716" t="s">
        <v>1161</v>
      </c>
      <c r="D703" s="716"/>
    </row>
    <row r="704" spans="1:4">
      <c r="A704" s="715" t="str">
        <f>IF(ster!$A$1=1,names!B704,IF(ster!$A$1=2,names!C704))</f>
        <v>instrumenty pochodne</v>
      </c>
      <c r="B704" s="716" t="s">
        <v>711</v>
      </c>
      <c r="C704" s="716" t="s">
        <v>1162</v>
      </c>
      <c r="D704" s="716"/>
    </row>
    <row r="705" spans="1:4">
      <c r="A705" s="715" t="str">
        <f>IF(ster!$A$1=1,names!B705,IF(ster!$A$1=2,names!C705))</f>
        <v>zapasy obowiązkowe</v>
      </c>
      <c r="B705" s="716" t="s">
        <v>1642</v>
      </c>
      <c r="C705" s="716" t="s">
        <v>1643</v>
      </c>
      <c r="D705" s="716"/>
    </row>
    <row r="706" spans="1:4">
      <c r="A706" s="715" t="str">
        <f>IF(ster!$A$1=1,names!B706,IF(ster!$A$1=2,names!C706))</f>
        <v>zmiana stanu zobowiązań z tytułu umów z klientami</v>
      </c>
      <c r="B706" s="716" t="s">
        <v>1996</v>
      </c>
      <c r="C706" s="716" t="s">
        <v>1997</v>
      </c>
      <c r="D706" s="716"/>
    </row>
    <row r="707" spans="1:4" ht="32.25">
      <c r="A707" s="715" t="str">
        <f>IF(ster!$A$1=1,names!B707,IF(ster!$A$1=2,names!C707))</f>
        <v>zmiana stanu aktywów i zobowiązań z tytułu kontraktów wycenionych na moment rozliczenia połączenia jednostek</v>
      </c>
      <c r="B707" s="716" t="s">
        <v>778</v>
      </c>
      <c r="C707" s="716" t="s">
        <v>1163</v>
      </c>
      <c r="D707" s="716"/>
    </row>
    <row r="708" spans="1:4">
      <c r="A708" s="715" t="str">
        <f>IF(ster!$A$1=1,names!B708,IF(ster!$A$1=2,names!C708))</f>
        <v>Podatek dochodowy (zapłacony)</v>
      </c>
      <c r="B708" s="716" t="s">
        <v>4</v>
      </c>
      <c r="C708" s="716" t="s">
        <v>1164</v>
      </c>
      <c r="D708" s="716"/>
    </row>
    <row r="709" spans="1:4" ht="32.25">
      <c r="A709" s="715" t="str">
        <f>IF(ster!$A$1=1,names!B709,IF(ster!$A$1=2,names!C709))</f>
        <v>Środki pieniężne netto z/(wykorzystane w) działalności operacyjnej</v>
      </c>
      <c r="B709" s="716" t="s">
        <v>168</v>
      </c>
      <c r="C709" s="716" t="s">
        <v>1165</v>
      </c>
      <c r="D709" s="716"/>
    </row>
    <row r="710" spans="1:4">
      <c r="A710" s="715" t="str">
        <f>IF(ster!$A$1=1,names!B710,IF(ster!$A$1=2,names!C710))</f>
        <v>Przepływy pieniężne z działalności inwestycyjnej</v>
      </c>
      <c r="B710" s="716" t="s">
        <v>46</v>
      </c>
      <c r="C710" s="716" t="s">
        <v>1166</v>
      </c>
      <c r="D710" s="716"/>
    </row>
    <row r="711" spans="1:4" ht="32.25">
      <c r="A711" s="715" t="str">
        <f>IF(ster!$A$1=1,names!B711,IF(ster!$A$1=2,names!C711))</f>
        <v>Nabycie składników rzeczowego majątku trwałego, wartości niematerialnych i aktywów z tytułu praw do użytkowania</v>
      </c>
      <c r="B711" s="716" t="s">
        <v>771</v>
      </c>
      <c r="C711" s="716" t="s">
        <v>1167</v>
      </c>
      <c r="D711" s="716"/>
    </row>
    <row r="712" spans="1:4" ht="32.25">
      <c r="A712" s="715" t="str">
        <f>IF(ster!$A$1=1,names!B712,IF(ster!$A$1=2,names!C712))</f>
        <v>Wpływy netto  związane z realizacją Środków Zaradczych</v>
      </c>
      <c r="B712" s="716" t="s">
        <v>1650</v>
      </c>
      <c r="C712" s="716" t="s">
        <v>1168</v>
      </c>
      <c r="D712" s="716"/>
    </row>
    <row r="713" spans="1:4" ht="32.25">
      <c r="A713" s="715" t="str">
        <f>IF(ster!$A$1=1,names!B713,IF(ster!$A$1=2,names!C713))</f>
        <v>Sprzedaż składników rzeczowego majątku trwałego, wartości niematerialnych i aktywów z tytułu praw do użytkowania</v>
      </c>
      <c r="B713" s="716" t="s">
        <v>772</v>
      </c>
      <c r="C713" s="716" t="s">
        <v>1169</v>
      </c>
      <c r="D713" s="716"/>
    </row>
    <row r="714" spans="1:4">
      <c r="A714" s="715" t="str">
        <f>IF(ster!$A$1=1,names!B714,IF(ster!$A$1=2,names!C714))</f>
        <v>Dokapitalizowanie w inwestycjach we wspólne przedsięwzięcia</v>
      </c>
      <c r="B714" s="716" t="s">
        <v>745</v>
      </c>
      <c r="C714" s="716" t="s">
        <v>1170</v>
      </c>
      <c r="D714" s="716"/>
    </row>
    <row r="715" spans="1:4">
      <c r="A715" s="715" t="str">
        <f>IF(ster!$A$1=1,names!B715,IF(ster!$A$1=2,names!C715))</f>
        <v>Odsetki otrzymane</v>
      </c>
      <c r="B715" s="716" t="s">
        <v>28</v>
      </c>
      <c r="C715" s="716" t="s">
        <v>1171</v>
      </c>
      <c r="D715" s="716"/>
    </row>
    <row r="716" spans="1:4">
      <c r="A716" s="715" t="str">
        <f>IF(ster!$A$1=1,names!B716,IF(ster!$A$1=2,names!C716))</f>
        <v>Dywidendy otrzymane</v>
      </c>
      <c r="B716" s="716" t="s">
        <v>26</v>
      </c>
      <c r="C716" s="716" t="s">
        <v>1172</v>
      </c>
      <c r="D716" s="716"/>
    </row>
    <row r="717" spans="1:4">
      <c r="A717" s="715" t="str">
        <f>IF(ster!$A$1=1,names!B717,IF(ster!$A$1=2,names!C717))</f>
        <v>Wpływy z tytułu spłaty udzielonych pożyczek</v>
      </c>
      <c r="B717" s="716" t="s">
        <v>1644</v>
      </c>
      <c r="C717" s="779"/>
      <c r="D717" s="779"/>
    </row>
    <row r="718" spans="1:4">
      <c r="A718" s="715" t="str">
        <f>IF(ster!$A$1=1,names!B718,IF(ster!$A$1=2,names!C718))</f>
        <v>(Wydatki) z tytułu udzielonych pożyczek</v>
      </c>
      <c r="B718" s="716" t="s">
        <v>1645</v>
      </c>
      <c r="C718" s="716" t="s">
        <v>1173</v>
      </c>
      <c r="D718" s="716"/>
    </row>
    <row r="719" spans="1:4" ht="32.25">
      <c r="A719" s="715" t="str">
        <f>IF(ster!$A$1=1,names!B719,IF(ster!$A$1=2,names!C719))</f>
        <v>(Nabycie)/Zbycie akcji i udziałów pomniejszone o środki pieniężne</v>
      </c>
      <c r="B719" s="716" t="s">
        <v>1651</v>
      </c>
      <c r="C719" s="716" t="s">
        <v>1174</v>
      </c>
      <c r="D719" s="716"/>
    </row>
    <row r="720" spans="1:4">
      <c r="A720" s="715" t="str">
        <f>IF(ster!$A$1=1,names!B720,IF(ster!$A$1=2,names!C720))</f>
        <v>Pozostałe</v>
      </c>
      <c r="B720" s="716" t="s">
        <v>47</v>
      </c>
      <c r="C720" s="716" t="s">
        <v>935</v>
      </c>
      <c r="D720" s="716"/>
    </row>
    <row r="721" spans="1:4" ht="32.25">
      <c r="A721" s="715" t="str">
        <f>IF(ster!$A$1=1,names!B721,IF(ster!$A$1=2,names!C721))</f>
        <v>Środki pieniężne netto z/(wykorzystane w) działalności inwestycyjnej</v>
      </c>
      <c r="B721" s="716" t="s">
        <v>294</v>
      </c>
      <c r="C721" s="716" t="s">
        <v>1175</v>
      </c>
      <c r="D721" s="716"/>
    </row>
    <row r="722" spans="1:4">
      <c r="A722" s="715" t="str">
        <f>IF(ster!$A$1=1,names!B722,IF(ster!$A$1=2,names!C722))</f>
        <v>Przepływy pieniężne z działalności finansowej</v>
      </c>
      <c r="B722" s="716" t="s">
        <v>48</v>
      </c>
      <c r="C722" s="716" t="s">
        <v>1176</v>
      </c>
      <c r="D722" s="716"/>
    </row>
    <row r="723" spans="1:4">
      <c r="A723" s="715" t="str">
        <f>IF(ster!$A$1=1,names!B723,IF(ster!$A$1=2,names!C723))</f>
        <v>Wpływy z otrzymanych kredytów i pożyczek</v>
      </c>
      <c r="B723" s="716" t="s">
        <v>1</v>
      </c>
      <c r="C723" s="716" t="s">
        <v>1177</v>
      </c>
      <c r="D723" s="716"/>
    </row>
    <row r="724" spans="1:4">
      <c r="A724" s="715" t="str">
        <f>IF(ster!$A$1=1,names!B724,IF(ster!$A$1=2,names!C724))</f>
        <v>Spłaty kredytów i pożyczek</v>
      </c>
      <c r="B724" s="716" t="s">
        <v>2</v>
      </c>
      <c r="C724" s="716" t="s">
        <v>1178</v>
      </c>
      <c r="D724" s="716"/>
    </row>
    <row r="725" spans="1:4">
      <c r="A725" s="715" t="str">
        <f>IF(ster!$A$1=1,names!B725,IF(ster!$A$1=2,names!C725))</f>
        <v>Wykup obligacji</v>
      </c>
      <c r="B725" s="716" t="s">
        <v>318</v>
      </c>
      <c r="C725" s="716" t="s">
        <v>1179</v>
      </c>
      <c r="D725" s="716"/>
    </row>
    <row r="726" spans="1:4">
      <c r="A726" s="715" t="str">
        <f>IF(ster!$A$1=1,names!B726,IF(ster!$A$1=2,names!C726))</f>
        <v>Odsetki zapłacone od kredytów, pożyczek i obligacji</v>
      </c>
      <c r="B726" s="716" t="s">
        <v>511</v>
      </c>
      <c r="C726" s="716" t="s">
        <v>1180</v>
      </c>
      <c r="D726" s="716"/>
    </row>
    <row r="727" spans="1:4">
      <c r="A727" s="715" t="str">
        <f>IF(ster!$A$1=1,names!B727,IF(ster!$A$1=2,names!C727))</f>
        <v>Dywidendy wypłacone</v>
      </c>
      <c r="B727" s="716" t="s">
        <v>127</v>
      </c>
      <c r="C727" s="716" t="s">
        <v>1181</v>
      </c>
      <c r="D727" s="716"/>
    </row>
    <row r="728" spans="1:4">
      <c r="A728" s="715" t="str">
        <f>IF(ster!$A$1=1,names!B728,IF(ster!$A$1=2,names!C728))</f>
        <v>Odsetki zapłacone z tytułu leasingu</v>
      </c>
      <c r="B728" s="716" t="s">
        <v>380</v>
      </c>
      <c r="C728" s="716" t="s">
        <v>1182</v>
      </c>
      <c r="D728" s="716"/>
    </row>
    <row r="729" spans="1:4">
      <c r="A729" s="715" t="str">
        <f>IF(ster!$A$1=1,names!B729,IF(ster!$A$1=2,names!C729))</f>
        <v>Płatności zobowiązań z tytułu umów leasingu</v>
      </c>
      <c r="B729" s="716" t="s">
        <v>378</v>
      </c>
      <c r="C729" s="716" t="s">
        <v>1183</v>
      </c>
      <c r="D729" s="716"/>
    </row>
    <row r="730" spans="1:4">
      <c r="A730" s="715" t="str">
        <f>IF(ster!$A$1=1,names!B730,IF(ster!$A$1=2,names!C730))</f>
        <v>Otrzymane dotacje</v>
      </c>
      <c r="B730" s="716" t="s">
        <v>159</v>
      </c>
      <c r="C730" s="716" t="s">
        <v>1184</v>
      </c>
      <c r="D730" s="716"/>
    </row>
    <row r="731" spans="1:4">
      <c r="A731" s="715" t="str">
        <f>IF(ster!$A$1=1,names!B731,IF(ster!$A$1=2,names!C731))</f>
        <v>Pozostałe</v>
      </c>
      <c r="B731" s="716" t="s">
        <v>47</v>
      </c>
      <c r="C731" s="716" t="s">
        <v>935</v>
      </c>
      <c r="D731" s="716"/>
    </row>
    <row r="732" spans="1:4" ht="32.25">
      <c r="A732" s="715" t="str">
        <f>IF(ster!$A$1=1,names!B732,IF(ster!$A$1=2,names!C732))</f>
        <v>Środki pieniężne netto z/(wykorzystane w) działalności finansowej</v>
      </c>
      <c r="B732" s="716" t="s">
        <v>145</v>
      </c>
      <c r="C732" s="716" t="s">
        <v>1185</v>
      </c>
      <c r="D732" s="716"/>
    </row>
    <row r="733" spans="1:4">
      <c r="A733" s="715">
        <f>IF(ster!$A$1=1,names!B733,IF(ster!$A$1=2,names!C733))</f>
        <v>0</v>
      </c>
      <c r="B733" s="716"/>
      <c r="C733" s="716"/>
      <c r="D733" s="716"/>
    </row>
    <row r="734" spans="1:4">
      <c r="A734" s="715" t="str">
        <f>IF(ster!$A$1=1,names!B734,IF(ster!$A$1=2,names!C734))</f>
        <v>Zwiększenie/(Zmniejszenie) netto stanu środków pieniężnych</v>
      </c>
      <c r="B734" s="716" t="s">
        <v>612</v>
      </c>
      <c r="C734" s="716" t="s">
        <v>1186</v>
      </c>
      <c r="D734" s="716"/>
    </row>
    <row r="735" spans="1:4" ht="32.25">
      <c r="A735" s="715" t="str">
        <f>IF(ster!$A$1=1,names!B735,IF(ster!$A$1=2,names!C735))</f>
        <v>Zmiana stanu środków pieniężnych i ich ekwiwalentów z tytułu różnic kursowych</v>
      </c>
      <c r="B735" s="716" t="s">
        <v>5</v>
      </c>
      <c r="C735" s="716" t="s">
        <v>1187</v>
      </c>
      <c r="D735" s="716"/>
    </row>
    <row r="736" spans="1:4">
      <c r="A736" s="715" t="str">
        <f>IF(ster!$A$1=1,names!B736,IF(ster!$A$1=2,names!C736))</f>
        <v>Środki pieniężne na początek okresu</v>
      </c>
      <c r="B736" s="716" t="s">
        <v>712</v>
      </c>
      <c r="C736" s="716" t="s">
        <v>1188</v>
      </c>
      <c r="D736" s="716"/>
    </row>
    <row r="737" spans="1:4">
      <c r="A737" s="715">
        <f>IF(ster!$A$1=1,names!B737,IF(ster!$A$1=2,names!C737))</f>
        <v>0</v>
      </c>
      <c r="B737" s="716"/>
      <c r="C737" s="716"/>
      <c r="D737" s="716"/>
    </row>
    <row r="738" spans="1:4">
      <c r="A738" s="715" t="str">
        <f>IF(ster!$A$1=1,names!B738,IF(ster!$A$1=2,names!C738))</f>
        <v>Środki pieniężne na koniec okresu</v>
      </c>
      <c r="B738" s="716" t="s">
        <v>613</v>
      </c>
      <c r="C738" s="716" t="s">
        <v>1189</v>
      </c>
      <c r="D738" s="716"/>
    </row>
    <row r="739" spans="1:4">
      <c r="A739" s="715" t="str">
        <f>IF(ster!$A$1=1,names!B739,IF(ster!$A$1=2,names!C739))</f>
        <v>w tym środki pieniężne o ograniczonej możliwości dysponowania</v>
      </c>
      <c r="B739" s="716" t="s">
        <v>377</v>
      </c>
      <c r="C739" s="716" t="s">
        <v>1190</v>
      </c>
      <c r="D739" s="716"/>
    </row>
    <row r="740" spans="1:4">
      <c r="A740" s="715">
        <f>IF(ster!$A$1=1,names!B740,IF(ster!$A$1=2,names!C740))</f>
        <v>0</v>
      </c>
      <c r="B740" s="716"/>
      <c r="C740" s="716"/>
      <c r="D740" s="716"/>
    </row>
    <row r="741" spans="1:4">
      <c r="A741" s="715" t="str">
        <f>IF(ster!$A$1=1,names!B741,IF(ster!$A$1=2,names!C741))</f>
        <v>Wybrane dane operacyjne</v>
      </c>
      <c r="B741" s="717" t="s">
        <v>431</v>
      </c>
      <c r="C741" s="716" t="s">
        <v>803</v>
      </c>
      <c r="D741" s="716"/>
    </row>
    <row r="742" spans="1:4">
      <c r="A742" s="715">
        <f>IF(ster!$A$1=1,names!B742,IF(ster!$A$1=2,names!C742))</f>
        <v>0</v>
      </c>
      <c r="B742" s="716"/>
      <c r="C742" s="716"/>
      <c r="D742" s="716"/>
    </row>
    <row r="743" spans="1:4">
      <c r="A743" s="715" t="str">
        <f>IF(ster!$A$1=1,names!B743,IF(ster!$A$1=2,names!C743))</f>
        <v>Produkcja wolumenowa</v>
      </c>
      <c r="B743" s="717" t="s">
        <v>268</v>
      </c>
      <c r="C743" s="716" t="s">
        <v>1191</v>
      </c>
      <c r="D743" s="716"/>
    </row>
    <row r="744" spans="1:4">
      <c r="A744" s="715">
        <f>IF(ster!$A$1=1,names!B744,IF(ster!$A$1=2,names!C744))</f>
        <v>0</v>
      </c>
      <c r="B744" s="716"/>
      <c r="C744" s="716"/>
      <c r="D744" s="716"/>
    </row>
    <row r="745" spans="1:4" ht="32.25">
      <c r="A745" s="715" t="str">
        <f>IF(ster!$A$1=1,names!B745,IF(ster!$A$1=2,names!C745))</f>
        <v>Produkcja
tys. ton</v>
      </c>
      <c r="B745" s="716" t="s">
        <v>240</v>
      </c>
      <c r="C745" s="716" t="s">
        <v>1192</v>
      </c>
      <c r="D745" s="716"/>
    </row>
    <row r="746" spans="1:4">
      <c r="A746" s="715">
        <f>IF(ster!$A$1=1,names!B746,IF(ster!$A$1=2,names!C746))</f>
        <v>0</v>
      </c>
      <c r="B746" s="716"/>
      <c r="C746" s="716"/>
      <c r="D746" s="716"/>
    </row>
    <row r="747" spans="1:4">
      <c r="A747" s="715">
        <f>IF(ster!$A$1=1,names!B747,IF(ster!$A$1=2,names!C747))</f>
        <v>0</v>
      </c>
      <c r="B747" s="716"/>
      <c r="C747" s="716"/>
      <c r="D747" s="716"/>
    </row>
    <row r="748" spans="1:4">
      <c r="A748" s="715">
        <f>IF(ster!$A$1=1,names!B748,IF(ster!$A$1=2,names!C748))</f>
        <v>0</v>
      </c>
      <c r="B748" s="716"/>
      <c r="C748" s="716"/>
      <c r="D748" s="716"/>
    </row>
    <row r="749" spans="1:4">
      <c r="A749" s="715" t="str">
        <f>IF(ster!$A$1=1,names!B749,IF(ster!$A$1=2,names!C749))</f>
        <v>Przerób ropy</v>
      </c>
      <c r="B749" s="716" t="s">
        <v>248</v>
      </c>
      <c r="C749" s="716" t="s">
        <v>1193</v>
      </c>
      <c r="D749" s="716"/>
    </row>
    <row r="750" spans="1:4">
      <c r="A750" s="715">
        <f>IF(ster!$A$1=1,names!B750,IF(ster!$A$1=2,names!C750))</f>
        <v>0</v>
      </c>
      <c r="B750" s="716"/>
      <c r="C750" s="716"/>
      <c r="D750" s="716"/>
    </row>
    <row r="751" spans="1:4">
      <c r="A751" s="715" t="str">
        <f>IF(ster!$A$1=1,names!B751,IF(ster!$A$1=2,names!C751))</f>
        <v>Produkcja rafineryjna</v>
      </c>
      <c r="B751" s="716" t="s">
        <v>448</v>
      </c>
      <c r="C751" s="716" t="s">
        <v>1194</v>
      </c>
      <c r="D751" s="716"/>
    </row>
    <row r="752" spans="1:4">
      <c r="A752" s="715" t="str">
        <f>IF(ster!$A$1=1,names!B752,IF(ster!$A$1=2,names!C752))</f>
        <v>Lekkie destylaty, w tym:</v>
      </c>
      <c r="B752" s="716" t="s">
        <v>533</v>
      </c>
      <c r="C752" s="716" t="s">
        <v>1195</v>
      </c>
      <c r="D752" s="716"/>
    </row>
    <row r="753" spans="1:4">
      <c r="A753" s="715" t="str">
        <f>IF(ster!$A$1=1,names!B753,IF(ster!$A$1=2,names!C753))</f>
        <v>- benzyna</v>
      </c>
      <c r="B753" s="716" t="s">
        <v>574</v>
      </c>
      <c r="C753" s="716" t="s">
        <v>1196</v>
      </c>
      <c r="D753" s="716"/>
    </row>
    <row r="754" spans="1:4">
      <c r="A754" s="715" t="str">
        <f>IF(ster!$A$1=1,names!B754,IF(ster!$A$1=2,names!C754))</f>
        <v>- LPG</v>
      </c>
      <c r="B754" s="716" t="s">
        <v>575</v>
      </c>
      <c r="C754" s="716" t="s">
        <v>575</v>
      </c>
      <c r="D754" s="716"/>
    </row>
    <row r="755" spans="1:4">
      <c r="A755" s="715" t="str">
        <f>IF(ster!$A$1=1,names!B755,IF(ster!$A$1=2,names!C755))</f>
        <v>Średnie destylaty, w tym:</v>
      </c>
      <c r="B755" s="716" t="s">
        <v>534</v>
      </c>
      <c r="C755" s="716" t="s">
        <v>1197</v>
      </c>
      <c r="D755" s="716"/>
    </row>
    <row r="756" spans="1:4">
      <c r="A756" s="715" t="str">
        <f>IF(ster!$A$1=1,names!B756,IF(ster!$A$1=2,names!C756))</f>
        <v>- olej napędowy</v>
      </c>
      <c r="B756" s="716" t="s">
        <v>576</v>
      </c>
      <c r="C756" s="716" t="s">
        <v>1198</v>
      </c>
      <c r="D756" s="716"/>
    </row>
    <row r="757" spans="1:4">
      <c r="A757" s="715" t="str">
        <f>IF(ster!$A$1=1,names!B757,IF(ster!$A$1=2,names!C757))</f>
        <v>- lekki olej opałowy</v>
      </c>
      <c r="B757" s="716" t="s">
        <v>577</v>
      </c>
      <c r="C757" s="716" t="s">
        <v>1199</v>
      </c>
      <c r="D757" s="716"/>
    </row>
    <row r="758" spans="1:4">
      <c r="A758" s="715" t="str">
        <f>IF(ster!$A$1=1,names!B758,IF(ster!$A$1=2,names!C758))</f>
        <v>- paliwo lotnicze</v>
      </c>
      <c r="B758" s="716" t="s">
        <v>578</v>
      </c>
      <c r="C758" s="716" t="s">
        <v>1200</v>
      </c>
      <c r="D758" s="716"/>
    </row>
    <row r="759" spans="1:4">
      <c r="A759" s="715" t="str">
        <f>IF(ster!$A$1=1,names!B759,IF(ster!$A$1=2,names!C759))</f>
        <v>Frakcje ciężkie</v>
      </c>
      <c r="B759" s="716" t="s">
        <v>579</v>
      </c>
      <c r="C759" s="716" t="s">
        <v>1201</v>
      </c>
      <c r="D759" s="716"/>
    </row>
    <row r="760" spans="1:4">
      <c r="A760" s="715" t="str">
        <f>IF(ster!$A$1=1,names!B760,IF(ster!$A$1=2,names!C760))</f>
        <v xml:space="preserve">  - ciężki olej opałowy</v>
      </c>
      <c r="B760" s="716" t="s">
        <v>540</v>
      </c>
      <c r="C760" s="716" t="s">
        <v>1202</v>
      </c>
      <c r="D760" s="716"/>
    </row>
    <row r="761" spans="1:4">
      <c r="A761" s="715" t="str">
        <f>IF(ster!$A$1=1,names!B761,IF(ster!$A$1=2,names!C761))</f>
        <v xml:space="preserve">  - asfalt</v>
      </c>
      <c r="B761" s="716" t="s">
        <v>541</v>
      </c>
      <c r="C761" s="716" t="s">
        <v>1203</v>
      </c>
      <c r="D761" s="716"/>
    </row>
    <row r="762" spans="1:4">
      <c r="A762" s="715" t="str">
        <f>IF(ster!$A$1=1,names!B762,IF(ster!$A$1=2,names!C762))</f>
        <v xml:space="preserve">  - oleje</v>
      </c>
      <c r="B762" s="716" t="s">
        <v>542</v>
      </c>
      <c r="C762" s="716" t="s">
        <v>1204</v>
      </c>
      <c r="D762" s="716"/>
    </row>
    <row r="763" spans="1:4">
      <c r="A763" s="715" t="str">
        <f>IF(ster!$A$1=1,names!B763,IF(ster!$A$1=2,names!C763))</f>
        <v>Pozostałe</v>
      </c>
      <c r="B763" s="716" t="s">
        <v>47</v>
      </c>
      <c r="C763" s="716" t="s">
        <v>935</v>
      </c>
      <c r="D763" s="716"/>
    </row>
    <row r="764" spans="1:4">
      <c r="A764" s="715">
        <f>IF(ster!$A$1=1,names!B764,IF(ster!$A$1=2,names!C764))</f>
        <v>0</v>
      </c>
      <c r="B764" s="716"/>
      <c r="C764" s="716"/>
      <c r="D764" s="716"/>
    </row>
    <row r="765" spans="1:4">
      <c r="A765" s="715" t="str">
        <f>IF(ster!$A$1=1,names!B765,IF(ster!$A$1=2,names!C765))</f>
        <v>Produkcja petrochemiczna</v>
      </c>
      <c r="B765" s="716" t="s">
        <v>449</v>
      </c>
      <c r="C765" s="716" t="s">
        <v>1205</v>
      </c>
      <c r="D765" s="716"/>
    </row>
    <row r="766" spans="1:4">
      <c r="A766" s="715" t="str">
        <f>IF(ster!$A$1=1,names!B766,IF(ster!$A$1=2,names!C766))</f>
        <v>Monomery, w tym:</v>
      </c>
      <c r="B766" s="716" t="s">
        <v>548</v>
      </c>
      <c r="C766" s="716" t="s">
        <v>1206</v>
      </c>
      <c r="D766" s="716"/>
    </row>
    <row r="767" spans="1:4">
      <c r="A767" s="715" t="str">
        <f>IF(ster!$A$1=1,names!B767,IF(ster!$A$1=2,names!C767))</f>
        <v xml:space="preserve">  - etylen</v>
      </c>
      <c r="B767" s="716" t="s">
        <v>544</v>
      </c>
      <c r="C767" s="716" t="s">
        <v>1207</v>
      </c>
      <c r="D767" s="716"/>
    </row>
    <row r="768" spans="1:4">
      <c r="A768" s="715" t="str">
        <f>IF(ster!$A$1=1,names!B768,IF(ster!$A$1=2,names!C768))</f>
        <v xml:space="preserve">  - propylen</v>
      </c>
      <c r="B768" s="716" t="s">
        <v>545</v>
      </c>
      <c r="C768" s="716" t="s">
        <v>1208</v>
      </c>
      <c r="D768" s="716"/>
    </row>
    <row r="769" spans="1:4">
      <c r="A769" s="715" t="str">
        <f>IF(ster!$A$1=1,names!B769,IF(ster!$A$1=2,names!C769))</f>
        <v>Polimery, w tym:</v>
      </c>
      <c r="B769" s="716" t="s">
        <v>549</v>
      </c>
      <c r="C769" s="716" t="s">
        <v>1209</v>
      </c>
      <c r="D769" s="716"/>
    </row>
    <row r="770" spans="1:4">
      <c r="A770" s="715" t="str">
        <f>IF(ster!$A$1=1,names!B770,IF(ster!$A$1=2,names!C770))</f>
        <v xml:space="preserve">  - polietylen</v>
      </c>
      <c r="B770" s="716" t="s">
        <v>546</v>
      </c>
      <c r="C770" s="716" t="s">
        <v>1210</v>
      </c>
      <c r="D770" s="716"/>
    </row>
    <row r="771" spans="1:4">
      <c r="A771" s="715" t="str">
        <f>IF(ster!$A$1=1,names!B771,IF(ster!$A$1=2,names!C771))</f>
        <v xml:space="preserve">  - polipropylen</v>
      </c>
      <c r="B771" s="716" t="s">
        <v>547</v>
      </c>
      <c r="C771" s="716" t="s">
        <v>1211</v>
      </c>
      <c r="D771" s="716"/>
    </row>
    <row r="772" spans="1:4">
      <c r="A772" s="715" t="str">
        <f>IF(ster!$A$1=1,names!B772,IF(ster!$A$1=2,names!C772))</f>
        <v>Aromaty, w tym:</v>
      </c>
      <c r="B772" s="716" t="s">
        <v>550</v>
      </c>
      <c r="C772" s="716" t="s">
        <v>1212</v>
      </c>
      <c r="D772" s="716"/>
    </row>
    <row r="773" spans="1:4">
      <c r="A773" s="715" t="str">
        <f>IF(ster!$A$1=1,names!B773,IF(ster!$A$1=2,names!C773))</f>
        <v xml:space="preserve">  - benzen</v>
      </c>
      <c r="B773" s="716" t="s">
        <v>551</v>
      </c>
      <c r="C773" s="716" t="s">
        <v>1213</v>
      </c>
      <c r="D773" s="716"/>
    </row>
    <row r="774" spans="1:4">
      <c r="A774" s="715" t="str">
        <f>IF(ster!$A$1=1,names!B774,IF(ster!$A$1=2,names!C774))</f>
        <v xml:space="preserve">  - toluen</v>
      </c>
      <c r="B774" s="716" t="s">
        <v>552</v>
      </c>
      <c r="C774" s="716" t="s">
        <v>1214</v>
      </c>
      <c r="D774" s="716"/>
    </row>
    <row r="775" spans="1:4">
      <c r="A775" s="715" t="str">
        <f>IF(ster!$A$1=1,names!B775,IF(ster!$A$1=2,names!C775))</f>
        <v xml:space="preserve">  - paraksylen</v>
      </c>
      <c r="B775" s="716" t="s">
        <v>553</v>
      </c>
      <c r="C775" s="716" t="s">
        <v>1215</v>
      </c>
      <c r="D775" s="716"/>
    </row>
    <row r="776" spans="1:4">
      <c r="A776" s="715" t="str">
        <f>IF(ster!$A$1=1,names!B776,IF(ster!$A$1=2,names!C776))</f>
        <v xml:space="preserve">  - ortoksylen</v>
      </c>
      <c r="B776" s="716" t="s">
        <v>554</v>
      </c>
      <c r="C776" s="716" t="s">
        <v>1216</v>
      </c>
      <c r="D776" s="716"/>
    </row>
    <row r="777" spans="1:4">
      <c r="A777" s="715" t="str">
        <f>IF(ster!$A$1=1,names!B777,IF(ster!$A$1=2,names!C777))</f>
        <v>Nawozy sztuczne, w tym:</v>
      </c>
      <c r="B777" s="716" t="s">
        <v>558</v>
      </c>
      <c r="C777" s="716" t="s">
        <v>1217</v>
      </c>
      <c r="D777" s="716"/>
    </row>
    <row r="778" spans="1:4">
      <c r="A778" s="715" t="str">
        <f>IF(ster!$A$1=1,names!B778,IF(ster!$A$1=2,names!C778))</f>
        <v xml:space="preserve">  - CANWIL</v>
      </c>
      <c r="B778" s="716" t="s">
        <v>559</v>
      </c>
      <c r="C778" s="716" t="s">
        <v>1218</v>
      </c>
      <c r="D778" s="716"/>
    </row>
    <row r="779" spans="1:4">
      <c r="A779" s="715" t="str">
        <f>IF(ster!$A$1=1,names!B779,IF(ster!$A$1=2,names!C779))</f>
        <v xml:space="preserve">  - siarczan amonu</v>
      </c>
      <c r="B779" s="716" t="s">
        <v>560</v>
      </c>
      <c r="C779" s="716" t="s">
        <v>1219</v>
      </c>
      <c r="D779" s="716"/>
    </row>
    <row r="780" spans="1:4">
      <c r="A780" s="715" t="str">
        <f>IF(ster!$A$1=1,names!B780,IF(ster!$A$1=2,names!C780))</f>
        <v xml:space="preserve">  - saletra amonowa</v>
      </c>
      <c r="B780" s="716" t="s">
        <v>561</v>
      </c>
      <c r="C780" s="716" t="s">
        <v>1220</v>
      </c>
      <c r="D780" s="716"/>
    </row>
    <row r="781" spans="1:4">
      <c r="A781" s="715" t="str">
        <f>IF(ster!$A$1=1,names!B781,IF(ster!$A$1=2,names!C781))</f>
        <v xml:space="preserve">  - pozostałe nawozy</v>
      </c>
      <c r="B781" s="716" t="s">
        <v>580</v>
      </c>
      <c r="C781" s="716" t="s">
        <v>1221</v>
      </c>
      <c r="D781" s="716"/>
    </row>
    <row r="782" spans="1:4">
      <c r="A782" s="715" t="str">
        <f>IF(ster!$A$1=1,names!B782,IF(ster!$A$1=2,names!C782))</f>
        <v>Tworzywa sztuczne, w tym:</v>
      </c>
      <c r="B782" s="716" t="s">
        <v>563</v>
      </c>
      <c r="C782" s="716" t="s">
        <v>1222</v>
      </c>
      <c r="D782" s="716"/>
    </row>
    <row r="783" spans="1:4">
      <c r="A783" s="715" t="str">
        <f>IF(ster!$A$1=1,names!B783,IF(ster!$A$1=2,names!C783))</f>
        <v xml:space="preserve">  - PCW</v>
      </c>
      <c r="B783" s="716" t="s">
        <v>564</v>
      </c>
      <c r="C783" s="716" t="s">
        <v>1223</v>
      </c>
      <c r="D783" s="716"/>
    </row>
    <row r="784" spans="1:4">
      <c r="A784" s="715" t="str">
        <f>IF(ster!$A$1=1,names!B784,IF(ster!$A$1=2,names!C784))</f>
        <v xml:space="preserve">  - przetwórstwo PCW</v>
      </c>
      <c r="B784" s="716" t="s">
        <v>581</v>
      </c>
      <c r="C784" s="716" t="s">
        <v>1224</v>
      </c>
      <c r="D784" s="716"/>
    </row>
    <row r="785" spans="1:4">
      <c r="A785" s="715" t="str">
        <f>IF(ster!$A$1=1,names!B785,IF(ster!$A$1=2,names!C785))</f>
        <v>PTA</v>
      </c>
      <c r="B785" s="716" t="s">
        <v>89</v>
      </c>
      <c r="C785" s="716" t="s">
        <v>89</v>
      </c>
      <c r="D785" s="716"/>
    </row>
    <row r="786" spans="1:4">
      <c r="A786" s="715" t="str">
        <f>IF(ster!$A$1=1,names!B786,IF(ster!$A$1=2,names!C786))</f>
        <v>Pozostałe</v>
      </c>
      <c r="B786" s="716" t="s">
        <v>47</v>
      </c>
      <c r="C786" s="716" t="s">
        <v>935</v>
      </c>
      <c r="D786" s="716"/>
    </row>
    <row r="787" spans="1:4">
      <c r="A787" s="715">
        <f>IF(ster!$A$1=1,names!B787,IF(ster!$A$1=2,names!C787))</f>
        <v>0</v>
      </c>
      <c r="B787" s="716"/>
      <c r="C787" s="716"/>
      <c r="D787" s="716"/>
    </row>
    <row r="788" spans="1:4">
      <c r="A788" s="715" t="str">
        <f>IF(ster!$A$1=1,names!B788,IF(ster!$A$1=2,names!C788))</f>
        <v>Produkcja razem</v>
      </c>
      <c r="B788" s="716" t="s">
        <v>250</v>
      </c>
      <c r="C788" s="716" t="s">
        <v>1225</v>
      </c>
      <c r="D788" s="716"/>
    </row>
    <row r="789" spans="1:4">
      <c r="A789" s="715" t="str">
        <f>IF(ster!$A$1=1,names!B789,IF(ster!$A$1=2,names!C789))</f>
        <v>*) Dane przekształcone.</v>
      </c>
      <c r="B789" s="716" t="s">
        <v>457</v>
      </c>
      <c r="C789" s="716" t="s">
        <v>1005</v>
      </c>
      <c r="D789" s="716"/>
    </row>
    <row r="790" spans="1:4" ht="32.25">
      <c r="A790" s="715" t="str">
        <f>IF(ster!$A$1=1,names!B790,IF(ster!$A$1=2,names!C790))</f>
        <v>GK 
ORLEN</v>
      </c>
      <c r="B790" s="716" t="s">
        <v>243</v>
      </c>
      <c r="C790" s="716" t="s">
        <v>1226</v>
      </c>
      <c r="D790" s="716"/>
    </row>
    <row r="791" spans="1:4" ht="32.25">
      <c r="A791" s="715" t="str">
        <f>IF(ster!$A$1=1,names!B791,IF(ster!$A$1=2,names!C791))</f>
        <v>ORLEN 
S.A.</v>
      </c>
      <c r="B791" s="716" t="s">
        <v>1740</v>
      </c>
      <c r="C791" s="716" t="s">
        <v>1740</v>
      </c>
      <c r="D791" s="716"/>
    </row>
    <row r="792" spans="1:4" ht="32.25">
      <c r="A792" s="715" t="str">
        <f>IF(ster!$A$1=1,names!B792,IF(ster!$A$1=2,names!C792))</f>
        <v>Grupa 
Unipetrol</v>
      </c>
      <c r="B792" s="716" t="s">
        <v>245</v>
      </c>
      <c r="C792" s="716" t="s">
        <v>1227</v>
      </c>
      <c r="D792" s="716"/>
    </row>
    <row r="793" spans="1:4" ht="32.25">
      <c r="A793" s="715" t="str">
        <f>IF(ster!$A$1=1,names!B793,IF(ster!$A$1=2,names!C793))</f>
        <v>ORLEN 
Lietuva</v>
      </c>
      <c r="B793" s="716" t="s">
        <v>246</v>
      </c>
      <c r="C793" s="716" t="s">
        <v>246</v>
      </c>
      <c r="D793" s="716"/>
    </row>
    <row r="794" spans="1:4" ht="32.25">
      <c r="A794" s="715" t="str">
        <f>IF(ster!$A$1=1,names!B794,IF(ster!$A$1=2,names!C794))</f>
        <v>Grupa 
Anwil</v>
      </c>
      <c r="B794" s="716" t="s">
        <v>247</v>
      </c>
      <c r="C794" s="716" t="s">
        <v>1228</v>
      </c>
      <c r="D794" s="716"/>
    </row>
    <row r="795" spans="1:4">
      <c r="A795" s="715" t="str">
        <f>IF(ster!$A$1=1,names!B795,IF(ster!$A$1=2,names!C795))</f>
        <v xml:space="preserve">ORLEN S.A. </v>
      </c>
      <c r="B795" s="716" t="s">
        <v>1229</v>
      </c>
      <c r="C795" s="716" t="s">
        <v>725</v>
      </c>
      <c r="D795" s="716"/>
    </row>
    <row r="796" spans="1:4">
      <c r="A796" s="715" t="str">
        <f>IF(ster!$A$1=1,names!B796,IF(ster!$A$1=2,names!C796))</f>
        <v>Rok 2020</v>
      </c>
      <c r="B796" s="716" t="s">
        <v>482</v>
      </c>
      <c r="C796" s="716" t="s">
        <v>1231</v>
      </c>
      <c r="D796" s="716"/>
    </row>
    <row r="797" spans="1:4">
      <c r="A797" s="715" t="str">
        <f>IF(ster!$A$1=1,names!B797,IF(ster!$A$1=2,names!C797))</f>
        <v>Rok 2021</v>
      </c>
      <c r="B797" s="716" t="s">
        <v>510</v>
      </c>
      <c r="C797" s="716" t="s">
        <v>1232</v>
      </c>
      <c r="D797" s="716"/>
    </row>
    <row r="798" spans="1:4">
      <c r="A798" s="715" t="str">
        <f>IF(ster!$A$1=1,names!B798,IF(ster!$A$1=2,names!C798))</f>
        <v>Rok 2022</v>
      </c>
      <c r="B798" s="716" t="s">
        <v>532</v>
      </c>
      <c r="C798" s="716" t="s">
        <v>1233</v>
      </c>
      <c r="D798" s="716"/>
    </row>
    <row r="799" spans="1:4">
      <c r="A799" s="715" t="str">
        <f>IF(ster!$A$1=1,names!B799,IF(ster!$A$1=2,names!C799))</f>
        <v>Rok 2023</v>
      </c>
      <c r="B799" s="716" t="s">
        <v>747</v>
      </c>
      <c r="C799" s="716" t="s">
        <v>1234</v>
      </c>
      <c r="D799" s="716"/>
    </row>
    <row r="800" spans="1:4">
      <c r="A800" s="715" t="str">
        <f>IF(ster!$A$1=1,names!B800,IF(ster!$A$1=2,names!C800))</f>
        <v>Rok 2024</v>
      </c>
      <c r="B800" s="716" t="s">
        <v>1230</v>
      </c>
      <c r="C800" s="716" t="s">
        <v>1235</v>
      </c>
      <c r="D800" s="716"/>
    </row>
    <row r="801" spans="1:4">
      <c r="A801" s="715" t="str">
        <f>IF(ster!$A$1=1,names!B801,IF(ster!$A$1=2,names!C801))</f>
        <v>Rok 2025</v>
      </c>
      <c r="B801" s="716" t="s">
        <v>1666</v>
      </c>
      <c r="C801" s="716" t="s">
        <v>1667</v>
      </c>
      <c r="D801" s="716"/>
    </row>
    <row r="802" spans="1:4">
      <c r="A802" s="715">
        <f>IF(ster!$A$1=1,names!B802,IF(ster!$A$1=2,names!C802))</f>
        <v>0</v>
      </c>
      <c r="B802" s="716"/>
      <c r="C802" s="716"/>
      <c r="D802" s="716"/>
    </row>
    <row r="803" spans="1:4">
      <c r="A803" s="715" t="str">
        <f>IF(ster!$A$1=1,names!B803,IF(ster!$A$1=2,names!C803))</f>
        <v>Sprzedaż wolumenowa</v>
      </c>
      <c r="B803" s="717" t="s">
        <v>269</v>
      </c>
      <c r="C803" s="716" t="s">
        <v>1236</v>
      </c>
      <c r="D803" s="716"/>
    </row>
    <row r="804" spans="1:4">
      <c r="A804" s="715">
        <f>IF(ster!$A$1=1,names!B804,IF(ster!$A$1=2,names!C804))</f>
        <v>0</v>
      </c>
      <c r="B804" s="716"/>
      <c r="C804" s="716"/>
      <c r="D804" s="716"/>
    </row>
    <row r="805" spans="1:4" ht="32.25">
      <c r="A805" s="715" t="str">
        <f>IF(ster!$A$1=1,names!B805,IF(ster!$A$1=2,names!C805))</f>
        <v>Sprzedaż
tys. ton</v>
      </c>
      <c r="B805" s="716" t="s">
        <v>18</v>
      </c>
      <c r="C805" s="716" t="s">
        <v>1237</v>
      </c>
      <c r="D805" s="716"/>
    </row>
    <row r="806" spans="1:4">
      <c r="A806" s="715">
        <f>IF(ster!$A$1=1,names!B806,IF(ster!$A$1=2,names!C806))</f>
        <v>0</v>
      </c>
      <c r="B806" s="716"/>
      <c r="C806" s="716"/>
      <c r="D806" s="716"/>
    </row>
    <row r="807" spans="1:4">
      <c r="A807" s="715">
        <f>IF(ster!$A$1=1,names!B807,IF(ster!$A$1=2,names!C807))</f>
        <v>0</v>
      </c>
      <c r="B807" s="716"/>
      <c r="C807" s="716"/>
      <c r="D807" s="716"/>
    </row>
    <row r="808" spans="1:4">
      <c r="A808" s="715" t="str">
        <f>IF(ster!$A$1=1,names!B808,IF(ster!$A$1=2,names!C808))</f>
        <v>Segment Rafineria</v>
      </c>
      <c r="B808" s="716" t="s">
        <v>422</v>
      </c>
      <c r="C808" s="716" t="s">
        <v>989</v>
      </c>
      <c r="D808" s="716"/>
    </row>
    <row r="809" spans="1:4">
      <c r="A809" s="715" t="str">
        <f>IF(ster!$A$1=1,names!B809,IF(ster!$A$1=2,names!C809))</f>
        <v>Lekkie destylaty, w tym:</v>
      </c>
      <c r="B809" s="716" t="s">
        <v>533</v>
      </c>
      <c r="C809" s="716" t="s">
        <v>1195</v>
      </c>
      <c r="D809" s="716"/>
    </row>
    <row r="810" spans="1:4">
      <c r="A810" s="715" t="str">
        <f>IF(ster!$A$1=1,names!B810,IF(ster!$A$1=2,names!C810))</f>
        <v xml:space="preserve">  - benzyna</v>
      </c>
      <c r="B810" s="716" t="s">
        <v>535</v>
      </c>
      <c r="C810" s="716" t="s">
        <v>1196</v>
      </c>
      <c r="D810" s="716"/>
    </row>
    <row r="811" spans="1:4">
      <c r="A811" s="715" t="str">
        <f>IF(ster!$A$1=1,names!B811,IF(ster!$A$1=2,names!C811))</f>
        <v xml:space="preserve">  - LPG</v>
      </c>
      <c r="B811" s="716" t="s">
        <v>536</v>
      </c>
      <c r="C811" s="716" t="s">
        <v>575</v>
      </c>
      <c r="D811" s="716"/>
    </row>
    <row r="812" spans="1:4">
      <c r="A812" s="715" t="str">
        <f>IF(ster!$A$1=1,names!B812,IF(ster!$A$1=2,names!C812))</f>
        <v>Średnie destylaty, w tym:</v>
      </c>
      <c r="B812" s="716" t="s">
        <v>534</v>
      </c>
      <c r="C812" s="716" t="s">
        <v>1197</v>
      </c>
      <c r="D812" s="716"/>
    </row>
    <row r="813" spans="1:4">
      <c r="A813" s="715" t="str">
        <f>IF(ster!$A$1=1,names!B813,IF(ster!$A$1=2,names!C813))</f>
        <v xml:space="preserve">  - olej napędowy</v>
      </c>
      <c r="B813" s="716" t="s">
        <v>537</v>
      </c>
      <c r="C813" s="716" t="s">
        <v>1198</v>
      </c>
      <c r="D813" s="716"/>
    </row>
    <row r="814" spans="1:4">
      <c r="A814" s="715" t="str">
        <f>IF(ster!$A$1=1,names!B814,IF(ster!$A$1=2,names!C814))</f>
        <v xml:space="preserve">  - lekki olej opałowy</v>
      </c>
      <c r="B814" s="716" t="s">
        <v>538</v>
      </c>
      <c r="C814" s="716" t="s">
        <v>1199</v>
      </c>
      <c r="D814" s="716"/>
    </row>
    <row r="815" spans="1:4">
      <c r="A815" s="715" t="str">
        <f>IF(ster!$A$1=1,names!B815,IF(ster!$A$1=2,names!C815))</f>
        <v xml:space="preserve">  - paliwo lotnicze</v>
      </c>
      <c r="B815" s="716" t="s">
        <v>539</v>
      </c>
      <c r="C815" s="716" t="s">
        <v>1200</v>
      </c>
      <c r="D815" s="716"/>
    </row>
    <row r="816" spans="1:4">
      <c r="A816" s="715" t="str">
        <f>IF(ster!$A$1=1,names!B816,IF(ster!$A$1=2,names!C816))</f>
        <v>Frakcje ciężkie, w tym:</v>
      </c>
      <c r="B816" s="716" t="s">
        <v>543</v>
      </c>
      <c r="C816" s="716" t="s">
        <v>1201</v>
      </c>
      <c r="D816" s="716"/>
    </row>
    <row r="817" spans="1:4">
      <c r="A817" s="715" t="str">
        <f>IF(ster!$A$1=1,names!B817,IF(ster!$A$1=2,names!C817))</f>
        <v xml:space="preserve">  - ciężki olej opałowy</v>
      </c>
      <c r="B817" s="716" t="s">
        <v>540</v>
      </c>
      <c r="C817" s="716" t="s">
        <v>1202</v>
      </c>
      <c r="D817" s="716"/>
    </row>
    <row r="818" spans="1:4">
      <c r="A818" s="715" t="str">
        <f>IF(ster!$A$1=1,names!B818,IF(ster!$A$1=2,names!C818))</f>
        <v xml:space="preserve">  - asfalt</v>
      </c>
      <c r="B818" s="716" t="s">
        <v>541</v>
      </c>
      <c r="C818" s="716" t="s">
        <v>1203</v>
      </c>
      <c r="D818" s="716"/>
    </row>
    <row r="819" spans="1:4">
      <c r="A819" s="715" t="str">
        <f>IF(ster!$A$1=1,names!B819,IF(ster!$A$1=2,names!C819))</f>
        <v xml:space="preserve">  - oleje</v>
      </c>
      <c r="B819" s="716" t="s">
        <v>542</v>
      </c>
      <c r="C819" s="716" t="s">
        <v>1204</v>
      </c>
      <c r="D819" s="716"/>
    </row>
    <row r="820" spans="1:4">
      <c r="A820" s="715" t="str">
        <f>IF(ster!$A$1=1,names!B820,IF(ster!$A$1=2,names!C820))</f>
        <v>Pozostałe</v>
      </c>
      <c r="B820" s="716" t="s">
        <v>47</v>
      </c>
      <c r="C820" s="716" t="s">
        <v>935</v>
      </c>
      <c r="D820" s="716"/>
    </row>
    <row r="821" spans="1:4">
      <c r="A821" s="715">
        <f>IF(ster!$A$1=1,names!B821,IF(ster!$A$1=2,names!C821))</f>
        <v>0</v>
      </c>
      <c r="B821" s="716"/>
      <c r="C821" s="716"/>
      <c r="D821" s="716"/>
    </row>
    <row r="822" spans="1:4">
      <c r="A822" s="715" t="str">
        <f>IF(ster!$A$1=1,names!B822,IF(ster!$A$1=2,names!C822))</f>
        <v>Segment Petrochemia</v>
      </c>
      <c r="B822" s="716" t="s">
        <v>9</v>
      </c>
      <c r="C822" s="716" t="s">
        <v>1006</v>
      </c>
      <c r="D822" s="716"/>
    </row>
    <row r="823" spans="1:4">
      <c r="A823" s="715" t="str">
        <f>IF(ster!$A$1=1,names!B823,IF(ster!$A$1=2,names!C823))</f>
        <v>Monomery, w tym:</v>
      </c>
      <c r="B823" s="716" t="s">
        <v>548</v>
      </c>
      <c r="C823" s="716" t="s">
        <v>1206</v>
      </c>
      <c r="D823" s="716"/>
    </row>
    <row r="824" spans="1:4">
      <c r="A824" s="715" t="str">
        <f>IF(ster!$A$1=1,names!B824,IF(ster!$A$1=2,names!C824))</f>
        <v xml:space="preserve">  - etylen</v>
      </c>
      <c r="B824" s="716" t="s">
        <v>544</v>
      </c>
      <c r="C824" s="716" t="s">
        <v>1207</v>
      </c>
      <c r="D824" s="716"/>
    </row>
    <row r="825" spans="1:4">
      <c r="A825" s="715" t="str">
        <f>IF(ster!$A$1=1,names!B825,IF(ster!$A$1=2,names!C825))</f>
        <v xml:space="preserve">  - propylen</v>
      </c>
      <c r="B825" s="716" t="s">
        <v>545</v>
      </c>
      <c r="C825" s="716" t="s">
        <v>1208</v>
      </c>
      <c r="D825" s="716"/>
    </row>
    <row r="826" spans="1:4">
      <c r="A826" s="715" t="str">
        <f>IF(ster!$A$1=1,names!B826,IF(ster!$A$1=2,names!C826))</f>
        <v>Polimery, w tym:</v>
      </c>
      <c r="B826" s="716" t="s">
        <v>549</v>
      </c>
      <c r="C826" s="716" t="s">
        <v>1209</v>
      </c>
      <c r="D826" s="716"/>
    </row>
    <row r="827" spans="1:4">
      <c r="A827" s="715" t="str">
        <f>IF(ster!$A$1=1,names!B827,IF(ster!$A$1=2,names!C827))</f>
        <v xml:space="preserve">  - polietylen</v>
      </c>
      <c r="B827" s="716" t="s">
        <v>546</v>
      </c>
      <c r="C827" s="716" t="s">
        <v>1210</v>
      </c>
      <c r="D827" s="716"/>
    </row>
    <row r="828" spans="1:4">
      <c r="A828" s="715" t="str">
        <f>IF(ster!$A$1=1,names!B828,IF(ster!$A$1=2,names!C828))</f>
        <v xml:space="preserve">  - polipropylen</v>
      </c>
      <c r="B828" s="716" t="s">
        <v>547</v>
      </c>
      <c r="C828" s="716" t="s">
        <v>1211</v>
      </c>
      <c r="D828" s="716"/>
    </row>
    <row r="829" spans="1:4">
      <c r="A829" s="715" t="str">
        <f>IF(ster!$A$1=1,names!B829,IF(ster!$A$1=2,names!C829))</f>
        <v>Aromaty, w tym:</v>
      </c>
      <c r="B829" s="716" t="s">
        <v>550</v>
      </c>
      <c r="C829" s="716" t="s">
        <v>1212</v>
      </c>
      <c r="D829" s="716"/>
    </row>
    <row r="830" spans="1:4">
      <c r="A830" s="715" t="str">
        <f>IF(ster!$A$1=1,names!B830,IF(ster!$A$1=2,names!C830))</f>
        <v xml:space="preserve">  - benzen</v>
      </c>
      <c r="B830" s="716" t="s">
        <v>551</v>
      </c>
      <c r="C830" s="716" t="s">
        <v>1213</v>
      </c>
      <c r="D830" s="716"/>
    </row>
    <row r="831" spans="1:4">
      <c r="A831" s="715" t="str">
        <f>IF(ster!$A$1=1,names!B831,IF(ster!$A$1=2,names!C831))</f>
        <v xml:space="preserve">  - toluen</v>
      </c>
      <c r="B831" s="716" t="s">
        <v>552</v>
      </c>
      <c r="C831" s="716" t="s">
        <v>1214</v>
      </c>
      <c r="D831" s="716"/>
    </row>
    <row r="832" spans="1:4">
      <c r="A832" s="715" t="str">
        <f>IF(ster!$A$1=1,names!B832,IF(ster!$A$1=2,names!C832))</f>
        <v xml:space="preserve">  - paraksylen</v>
      </c>
      <c r="B832" s="716" t="s">
        <v>553</v>
      </c>
      <c r="C832" s="716" t="s">
        <v>1215</v>
      </c>
      <c r="D832" s="716"/>
    </row>
    <row r="833" spans="1:4">
      <c r="A833" s="715" t="str">
        <f>IF(ster!$A$1=1,names!B833,IF(ster!$A$1=2,names!C833))</f>
        <v xml:space="preserve">  - ortoksylen</v>
      </c>
      <c r="B833" s="716" t="s">
        <v>554</v>
      </c>
      <c r="C833" s="716" t="s">
        <v>1216</v>
      </c>
      <c r="D833" s="716"/>
    </row>
    <row r="834" spans="1:4">
      <c r="A834" s="715" t="str">
        <f>IF(ster!$A$1=1,names!B834,IF(ster!$A$1=2,names!C834))</f>
        <v>Nawozy sztuczne, w tym:</v>
      </c>
      <c r="B834" s="716" t="s">
        <v>558</v>
      </c>
      <c r="C834" s="716" t="s">
        <v>1217</v>
      </c>
      <c r="D834" s="716"/>
    </row>
    <row r="835" spans="1:4">
      <c r="A835" s="715" t="str">
        <f>IF(ster!$A$1=1,names!B835,IF(ster!$A$1=2,names!C835))</f>
        <v xml:space="preserve">  - CANWIL</v>
      </c>
      <c r="B835" s="716" t="s">
        <v>559</v>
      </c>
      <c r="C835" s="716" t="s">
        <v>1218</v>
      </c>
      <c r="D835" s="716"/>
    </row>
    <row r="836" spans="1:4">
      <c r="A836" s="715" t="str">
        <f>IF(ster!$A$1=1,names!B836,IF(ster!$A$1=2,names!C836))</f>
        <v xml:space="preserve">  - siarczan amonu</v>
      </c>
      <c r="B836" s="716" t="s">
        <v>560</v>
      </c>
      <c r="C836" s="716" t="s">
        <v>1219</v>
      </c>
      <c r="D836" s="716"/>
    </row>
    <row r="837" spans="1:4">
      <c r="A837" s="715" t="str">
        <f>IF(ster!$A$1=1,names!B837,IF(ster!$A$1=2,names!C837))</f>
        <v xml:space="preserve">  - saletra amonowa</v>
      </c>
      <c r="B837" s="716" t="s">
        <v>561</v>
      </c>
      <c r="C837" s="716" t="s">
        <v>1220</v>
      </c>
      <c r="D837" s="716"/>
    </row>
    <row r="838" spans="1:4">
      <c r="A838" s="715" t="str">
        <f>IF(ster!$A$1=1,names!B838,IF(ster!$A$1=2,names!C838))</f>
        <v xml:space="preserve">  - pozostałe</v>
      </c>
      <c r="B838" s="716" t="s">
        <v>562</v>
      </c>
      <c r="C838" s="716" t="s">
        <v>1221</v>
      </c>
      <c r="D838" s="716"/>
    </row>
    <row r="839" spans="1:4">
      <c r="A839" s="715" t="str">
        <f>IF(ster!$A$1=1,names!B839,IF(ster!$A$1=2,names!C839))</f>
        <v>Tworzywa sztuczne, w tym:</v>
      </c>
      <c r="B839" s="716" t="s">
        <v>563</v>
      </c>
      <c r="C839" s="716" t="s">
        <v>1222</v>
      </c>
      <c r="D839" s="716"/>
    </row>
    <row r="840" spans="1:4">
      <c r="A840" s="715" t="str">
        <f>IF(ster!$A$1=1,names!B840,IF(ster!$A$1=2,names!C840))</f>
        <v xml:space="preserve">  - PCW</v>
      </c>
      <c r="B840" s="716" t="s">
        <v>564</v>
      </c>
      <c r="C840" s="716" t="s">
        <v>1223</v>
      </c>
      <c r="D840" s="716"/>
    </row>
    <row r="841" spans="1:4">
      <c r="A841" s="715" t="str">
        <f>IF(ster!$A$1=1,names!B841,IF(ster!$A$1=2,names!C841))</f>
        <v xml:space="preserve">  - granulat PCW</v>
      </c>
      <c r="B841" s="716" t="s">
        <v>565</v>
      </c>
      <c r="C841" s="716" t="s">
        <v>1224</v>
      </c>
      <c r="D841" s="716"/>
    </row>
    <row r="842" spans="1:4">
      <c r="A842" s="715" t="str">
        <f>IF(ster!$A$1=1,names!B842,IF(ster!$A$1=2,names!C842))</f>
        <v>PTA</v>
      </c>
      <c r="B842" s="716" t="s">
        <v>89</v>
      </c>
      <c r="C842" s="716" t="s">
        <v>89</v>
      </c>
      <c r="D842" s="716"/>
    </row>
    <row r="843" spans="1:4">
      <c r="A843" s="715" t="str">
        <f>IF(ster!$A$1=1,names!B843,IF(ster!$A$1=2,names!C843))</f>
        <v>Pozostałe</v>
      </c>
      <c r="B843" s="716" t="s">
        <v>47</v>
      </c>
      <c r="C843" s="716" t="s">
        <v>935</v>
      </c>
      <c r="D843" s="716"/>
    </row>
    <row r="844" spans="1:4">
      <c r="A844" s="715">
        <f>IF(ster!$A$1=1,names!B844,IF(ster!$A$1=2,names!C844))</f>
        <v>0</v>
      </c>
      <c r="B844" s="716"/>
      <c r="C844" s="716"/>
      <c r="D844" s="716"/>
    </row>
    <row r="845" spans="1:4">
      <c r="A845" s="715" t="str">
        <f>IF(ster!$A$1=1,names!B845,IF(ster!$A$1=2,names!C845))</f>
        <v>Segment Detal</v>
      </c>
      <c r="B845" s="716" t="s">
        <v>8</v>
      </c>
      <c r="C845" s="716" t="s">
        <v>1238</v>
      </c>
      <c r="D845" s="716"/>
    </row>
    <row r="846" spans="1:4">
      <c r="A846" s="715" t="str">
        <f>IF(ster!$A$1=1,names!B846,IF(ster!$A$1=2,names!C846))</f>
        <v>Lekkie destylaty, w tym:</v>
      </c>
      <c r="B846" s="716" t="s">
        <v>533</v>
      </c>
      <c r="C846" s="716" t="s">
        <v>1195</v>
      </c>
      <c r="D846" s="716"/>
    </row>
    <row r="847" spans="1:4">
      <c r="A847" s="715" t="str">
        <f>IF(ster!$A$1=1,names!B847,IF(ster!$A$1=2,names!C847))</f>
        <v xml:space="preserve">  - benzyna</v>
      </c>
      <c r="B847" s="716" t="s">
        <v>535</v>
      </c>
      <c r="C847" s="716" t="s">
        <v>1196</v>
      </c>
      <c r="D847" s="716"/>
    </row>
    <row r="848" spans="1:4">
      <c r="A848" s="715" t="str">
        <f>IF(ster!$A$1=1,names!B848,IF(ster!$A$1=2,names!C848))</f>
        <v xml:space="preserve">  - LPG</v>
      </c>
      <c r="B848" s="716" t="s">
        <v>536</v>
      </c>
      <c r="C848" s="716" t="s">
        <v>575</v>
      </c>
      <c r="D848" s="716"/>
    </row>
    <row r="849" spans="1:4">
      <c r="A849" s="715" t="str">
        <f>IF(ster!$A$1=1,names!B849,IF(ster!$A$1=2,names!C849))</f>
        <v>Średnie destylaty, w tym:</v>
      </c>
      <c r="B849" s="716" t="s">
        <v>534</v>
      </c>
      <c r="C849" s="716" t="s">
        <v>1197</v>
      </c>
      <c r="D849" s="716"/>
    </row>
    <row r="850" spans="1:4">
      <c r="A850" s="715" t="str">
        <f>IF(ster!$A$1=1,names!B850,IF(ster!$A$1=2,names!C850))</f>
        <v xml:space="preserve">  - olej napędowy</v>
      </c>
      <c r="B850" s="716" t="s">
        <v>537</v>
      </c>
      <c r="C850" s="716" t="s">
        <v>1198</v>
      </c>
      <c r="D850" s="716"/>
    </row>
    <row r="851" spans="1:4">
      <c r="A851" s="715" t="str">
        <f>IF(ster!$A$1=1,names!B851,IF(ster!$A$1=2,names!C851))</f>
        <v xml:space="preserve">  - lekki olej opałowy</v>
      </c>
      <c r="B851" s="716" t="s">
        <v>538</v>
      </c>
      <c r="C851" s="716" t="s">
        <v>1199</v>
      </c>
      <c r="D851" s="716"/>
    </row>
    <row r="852" spans="1:4">
      <c r="A852" s="715" t="str">
        <f>IF(ster!$A$1=1,names!B852,IF(ster!$A$1=2,names!C852))</f>
        <v>Pozostałe</v>
      </c>
      <c r="B852" s="716" t="s">
        <v>47</v>
      </c>
      <c r="C852" s="716" t="s">
        <v>935</v>
      </c>
      <c r="D852" s="716"/>
    </row>
    <row r="853" spans="1:4">
      <c r="A853" s="715">
        <f>IF(ster!$A$1=1,names!B853,IF(ster!$A$1=2,names!C853))</f>
        <v>0</v>
      </c>
      <c r="B853" s="716"/>
      <c r="C853" s="716"/>
      <c r="D853" s="716"/>
    </row>
    <row r="854" spans="1:4">
      <c r="A854" s="715" t="str">
        <f>IF(ster!$A$1=1,names!B854,IF(ster!$A$1=2,names!C854))</f>
        <v>Segment Wydobycie</v>
      </c>
      <c r="B854" s="716" t="s">
        <v>123</v>
      </c>
      <c r="C854" s="716" t="s">
        <v>1058</v>
      </c>
      <c r="D854" s="716"/>
    </row>
    <row r="855" spans="1:4">
      <c r="A855" s="715" t="str">
        <f>IF(ster!$A$1=1,names!B855,IF(ster!$A$1=2,names!C855))</f>
        <v>Ropa naftowa</v>
      </c>
      <c r="B855" s="716" t="s">
        <v>555</v>
      </c>
      <c r="C855" s="716" t="s">
        <v>1239</v>
      </c>
      <c r="D855" s="716"/>
    </row>
    <row r="856" spans="1:4">
      <c r="A856" s="715" t="str">
        <f>IF(ster!$A$1=1,names!B856,IF(ster!$A$1=2,names!C856))</f>
        <v>Gaz ziemny</v>
      </c>
      <c r="B856" s="716" t="s">
        <v>556</v>
      </c>
      <c r="C856" s="716" t="s">
        <v>1240</v>
      </c>
      <c r="D856" s="716"/>
    </row>
    <row r="857" spans="1:4">
      <c r="A857" s="715" t="str">
        <f>IF(ster!$A$1=1,names!B857,IF(ster!$A$1=2,names!C857))</f>
        <v>NGL (Natural Gas Liquids)</v>
      </c>
      <c r="B857" s="716" t="s">
        <v>557</v>
      </c>
      <c r="C857" s="716" t="s">
        <v>557</v>
      </c>
      <c r="D857" s="716"/>
    </row>
    <row r="858" spans="1:4">
      <c r="A858" s="715" t="str">
        <f>IF(ster!$A$1=1,names!B858,IF(ster!$A$1=2,names!C858))</f>
        <v>Gaz LNG</v>
      </c>
      <c r="B858" s="716" t="s">
        <v>616</v>
      </c>
      <c r="C858" s="716" t="s">
        <v>1241</v>
      </c>
      <c r="D858" s="716"/>
    </row>
    <row r="859" spans="1:4">
      <c r="A859" s="715" t="str">
        <f>IF(ster!$A$1=1,names!B859,IF(ster!$A$1=2,names!C859))</f>
        <v>Pozostałe</v>
      </c>
      <c r="B859" s="716" t="s">
        <v>47</v>
      </c>
      <c r="C859" s="716" t="s">
        <v>935</v>
      </c>
      <c r="D859" s="716"/>
    </row>
    <row r="860" spans="1:4">
      <c r="A860" s="715">
        <f>IF(ster!$A$1=1,names!B860,IF(ster!$A$1=2,names!C860))</f>
        <v>0</v>
      </c>
      <c r="B860" s="716"/>
      <c r="C860" s="716"/>
      <c r="D860" s="716"/>
    </row>
    <row r="861" spans="1:4">
      <c r="A861" s="715" t="str">
        <f>IF(ster!$A$1=1,names!B861,IF(ster!$A$1=2,names!C861))</f>
        <v>Segment Gaz</v>
      </c>
      <c r="B861" s="716" t="s">
        <v>614</v>
      </c>
      <c r="C861" s="716" t="s">
        <v>1061</v>
      </c>
      <c r="D861" s="716"/>
    </row>
    <row r="862" spans="1:4">
      <c r="A862" s="715" t="str">
        <f>IF(ster!$A$1=1,names!B862,IF(ster!$A$1=2,names!C862))</f>
        <v>Gaz LNG</v>
      </c>
      <c r="B862" s="716" t="s">
        <v>616</v>
      </c>
      <c r="C862" s="716" t="s">
        <v>1241</v>
      </c>
      <c r="D862" s="716"/>
    </row>
    <row r="863" spans="1:4">
      <c r="A863" s="715" t="str">
        <f>IF(ster!$A$1=1,names!B863,IF(ster!$A$1=2,names!C863))</f>
        <v>LPG</v>
      </c>
      <c r="B863" s="716" t="s">
        <v>94</v>
      </c>
      <c r="C863" s="716" t="s">
        <v>94</v>
      </c>
      <c r="D863" s="716"/>
    </row>
    <row r="864" spans="1:4">
      <c r="A864" s="715">
        <f>IF(ster!$A$1=1,names!B864,IF(ster!$A$1=2,names!C864))</f>
        <v>0</v>
      </c>
      <c r="B864" s="716"/>
      <c r="C864" s="716"/>
      <c r="D864" s="716"/>
    </row>
    <row r="865" spans="1:4">
      <c r="A865" s="715" t="str">
        <f>IF(ster!$A$1=1,names!B865,IF(ster!$A$1=2,names!C865))</f>
        <v>GK ORLEN - razem</v>
      </c>
      <c r="B865" s="716" t="s">
        <v>120</v>
      </c>
      <c r="C865" s="716" t="s">
        <v>1242</v>
      </c>
      <c r="D865" s="716"/>
    </row>
    <row r="866" spans="1:4">
      <c r="A866" s="715" t="str">
        <f>IF(ster!$A$1=1,names!B866,IF(ster!$A$1=2,names!C866))</f>
        <v>*) Dane przekształcone.</v>
      </c>
      <c r="B866" s="716" t="s">
        <v>457</v>
      </c>
      <c r="C866" s="716" t="s">
        <v>1005</v>
      </c>
      <c r="D866" s="716"/>
    </row>
    <row r="867" spans="1:4">
      <c r="A867" s="715">
        <f>IF(ster!$A$1=1,names!B867,IF(ster!$A$1=2,names!C867))</f>
        <v>0</v>
      </c>
      <c r="B867" s="716"/>
      <c r="C867" s="716"/>
      <c r="D867" s="716"/>
    </row>
    <row r="868" spans="1:4">
      <c r="A868" s="715" t="str">
        <f>IF(ster!$A$1=1,names!B868,IF(ster!$A$1=2,names!C868))</f>
        <v>Dane operacyjne Upstream&amp;Supply i Energy</v>
      </c>
      <c r="B868" s="717" t="s">
        <v>1810</v>
      </c>
      <c r="C868" s="716" t="s">
        <v>1811</v>
      </c>
      <c r="D868" s="716"/>
    </row>
    <row r="869" spans="1:4">
      <c r="A869" s="715" t="str">
        <f>IF(ster!$A$1=1,names!B869,IF(ster!$A$1=2,names!C869))</f>
        <v>Wyszczególnienie</v>
      </c>
      <c r="B869" s="716" t="s">
        <v>16</v>
      </c>
      <c r="C869" s="716" t="s">
        <v>825</v>
      </c>
      <c r="D869" s="716"/>
    </row>
    <row r="870" spans="1:4">
      <c r="A870" s="715">
        <f>IF(ster!$A$1=1,names!B870,IF(ster!$A$1=2,names!C870))</f>
        <v>0</v>
      </c>
      <c r="B870" s="716"/>
      <c r="C870" s="716"/>
      <c r="D870" s="716"/>
    </row>
    <row r="871" spans="1:4">
      <c r="A871" s="715" t="str">
        <f>IF(ster!$A$1=1,names!B871,IF(ster!$A$1=2,names!C871))</f>
        <v>Dane operacyjne Upstream&amp;Supply</v>
      </c>
      <c r="B871" s="716" t="s">
        <v>1812</v>
      </c>
      <c r="C871" s="716" t="s">
        <v>1680</v>
      </c>
      <c r="D871" s="716"/>
    </row>
    <row r="872" spans="1:4">
      <c r="A872" s="715">
        <f>IF(ster!$A$1=1,names!B872,IF(ster!$A$1=2,names!C872))</f>
        <v>0</v>
      </c>
      <c r="B872" s="716"/>
      <c r="C872" s="716"/>
      <c r="D872" s="716"/>
    </row>
    <row r="873" spans="1:4">
      <c r="A873" s="715" t="str">
        <f>IF(ster!$A$1=1,names!B873,IF(ster!$A$1=2,names!C873))</f>
        <v>Zasoby 2P na ostatni dzień okresu (mln boe)</v>
      </c>
      <c r="B873" s="716" t="s">
        <v>567</v>
      </c>
      <c r="C873" s="716" t="s">
        <v>1251</v>
      </c>
      <c r="D873" s="716"/>
    </row>
    <row r="874" spans="1:4">
      <c r="A874" s="715" t="str">
        <f>IF(ster!$A$1=1,names!B874,IF(ster!$A$1=2,names!C874))</f>
        <v>Polska</v>
      </c>
      <c r="B874" s="716" t="s">
        <v>10</v>
      </c>
      <c r="C874" s="716" t="s">
        <v>884</v>
      </c>
      <c r="D874" s="716"/>
    </row>
    <row r="875" spans="1:4">
      <c r="A875" s="715" t="str">
        <f>IF(ster!$A$1=1,names!B875,IF(ster!$A$1=2,names!C875))</f>
        <v>Norwegia</v>
      </c>
      <c r="B875" s="716" t="s">
        <v>596</v>
      </c>
      <c r="C875" s="716" t="s">
        <v>1252</v>
      </c>
      <c r="D875" s="716"/>
    </row>
    <row r="876" spans="1:4">
      <c r="A876" s="715" t="str">
        <f>IF(ster!$A$1=1,names!B876,IF(ster!$A$1=2,names!C876))</f>
        <v>Kanada</v>
      </c>
      <c r="B876" s="716" t="s">
        <v>566</v>
      </c>
      <c r="C876" s="716" t="s">
        <v>1253</v>
      </c>
      <c r="D876" s="716"/>
    </row>
    <row r="877" spans="1:4">
      <c r="A877" s="715" t="str">
        <f>IF(ster!$A$1=1,names!B877,IF(ster!$A$1=2,names!C877))</f>
        <v>Pakistan</v>
      </c>
      <c r="B877" s="716" t="s">
        <v>656</v>
      </c>
      <c r="C877" s="716" t="s">
        <v>656</v>
      </c>
      <c r="D877" s="716"/>
    </row>
    <row r="878" spans="1:4">
      <c r="A878" s="715" t="str">
        <f>IF(ster!$A$1=1,names!B878,IF(ster!$A$1=2,names!C878))</f>
        <v>Litwa</v>
      </c>
      <c r="B878" s="716" t="s">
        <v>13</v>
      </c>
      <c r="C878" s="716" t="s">
        <v>885</v>
      </c>
      <c r="D878" s="716"/>
    </row>
    <row r="879" spans="1:4">
      <c r="A879" s="715">
        <f>IF(ster!$A$1=1,names!B879,IF(ster!$A$1=2,names!C879))</f>
        <v>0</v>
      </c>
      <c r="B879" s="716"/>
      <c r="C879" s="716"/>
      <c r="D879" s="716"/>
    </row>
    <row r="880" spans="1:4">
      <c r="A880" s="715" t="str">
        <f>IF(ster!$A$1=1,names!B880,IF(ster!$A$1=2,names!C880))</f>
        <v>ROPA NAFTOWA i KONDENSAT</v>
      </c>
      <c r="B880" s="716" t="s">
        <v>687</v>
      </c>
      <c r="C880" s="716" t="s">
        <v>1254</v>
      </c>
      <c r="D880" s="716"/>
    </row>
    <row r="881" spans="1:4">
      <c r="A881" s="715">
        <f>IF(ster!$A$1=1,names!B881,IF(ster!$A$1=2,names!C881))</f>
        <v>0</v>
      </c>
      <c r="B881" s="716"/>
      <c r="C881" s="716"/>
      <c r="D881" s="716"/>
    </row>
    <row r="882" spans="1:4">
      <c r="A882" s="715" t="str">
        <f>IF(ster!$A$1=1,names!B882,IF(ster!$A$1=2,names!C882))</f>
        <v>Produkcja ropy, kondensatu, NGL (w tys. boe)</v>
      </c>
      <c r="B882" s="716" t="s">
        <v>727</v>
      </c>
      <c r="C882" s="716" t="s">
        <v>1255</v>
      </c>
      <c r="D882" s="716"/>
    </row>
    <row r="883" spans="1:4">
      <c r="A883" s="715" t="str">
        <f>IF(ster!$A$1=1,names!B883,IF(ster!$A$1=2,names!C883))</f>
        <v>Polska</v>
      </c>
      <c r="B883" s="716" t="s">
        <v>10</v>
      </c>
      <c r="C883" s="716" t="s">
        <v>884</v>
      </c>
      <c r="D883" s="716"/>
    </row>
    <row r="884" spans="1:4">
      <c r="A884" s="715" t="str">
        <f>IF(ster!$A$1=1,names!B884,IF(ster!$A$1=2,names!C884))</f>
        <v>Norwegia</v>
      </c>
      <c r="B884" s="716" t="s">
        <v>596</v>
      </c>
      <c r="C884" s="716" t="s">
        <v>1252</v>
      </c>
      <c r="D884" s="716"/>
    </row>
    <row r="885" spans="1:4">
      <c r="A885" s="715" t="str">
        <f>IF(ster!$A$1=1,names!B885,IF(ster!$A$1=2,names!C885))</f>
        <v>Kanada</v>
      </c>
      <c r="B885" s="716" t="s">
        <v>566</v>
      </c>
      <c r="C885" s="716" t="s">
        <v>1253</v>
      </c>
      <c r="D885" s="716"/>
    </row>
    <row r="886" spans="1:4">
      <c r="A886" s="715" t="str">
        <f>IF(ster!$A$1=1,names!B886,IF(ster!$A$1=2,names!C886))</f>
        <v>Litwa</v>
      </c>
      <c r="B886" s="716" t="s">
        <v>13</v>
      </c>
      <c r="C886" s="716" t="s">
        <v>885</v>
      </c>
      <c r="D886" s="716"/>
    </row>
    <row r="887" spans="1:4" ht="32.25">
      <c r="A887" s="715" t="str">
        <f>IF(ster!$A$1=1,names!B887,IF(ster!$A$1=2,names!C887))</f>
        <v>Sprzedaż ropy, kondensatu, NGL poza GK ORLEN (w tys. boe)</v>
      </c>
      <c r="B887" s="716" t="s">
        <v>728</v>
      </c>
      <c r="C887" s="716" t="s">
        <v>1256</v>
      </c>
      <c r="D887" s="716"/>
    </row>
    <row r="888" spans="1:4">
      <c r="A888" s="715" t="str">
        <f>IF(ster!$A$1=1,names!B888,IF(ster!$A$1=2,names!C888))</f>
        <v>Polska</v>
      </c>
      <c r="B888" s="716" t="s">
        <v>10</v>
      </c>
      <c r="C888" s="716" t="s">
        <v>884</v>
      </c>
      <c r="D888" s="716"/>
    </row>
    <row r="889" spans="1:4">
      <c r="A889" s="715" t="str">
        <f>IF(ster!$A$1=1,names!B889,IF(ster!$A$1=2,names!C889))</f>
        <v>Norwegia</v>
      </c>
      <c r="B889" s="716" t="s">
        <v>596</v>
      </c>
      <c r="C889" s="716" t="s">
        <v>1252</v>
      </c>
      <c r="D889" s="716"/>
    </row>
    <row r="890" spans="1:4">
      <c r="A890" s="715" t="str">
        <f>IF(ster!$A$1=1,names!B890,IF(ster!$A$1=2,names!C890))</f>
        <v>Kanada</v>
      </c>
      <c r="B890" s="716" t="s">
        <v>566</v>
      </c>
      <c r="C890" s="716" t="s">
        <v>1253</v>
      </c>
      <c r="D890" s="716"/>
    </row>
    <row r="891" spans="1:4">
      <c r="A891" s="715" t="str">
        <f>IF(ster!$A$1=1,names!B891,IF(ster!$A$1=2,names!C891))</f>
        <v>Litwa</v>
      </c>
      <c r="B891" s="716" t="s">
        <v>13</v>
      </c>
      <c r="C891" s="716" t="s">
        <v>885</v>
      </c>
      <c r="D891" s="716"/>
    </row>
    <row r="892" spans="1:4">
      <c r="A892" s="715">
        <f>IF(ster!$A$1=1,names!B892,IF(ster!$A$1=2,names!C892))</f>
        <v>0</v>
      </c>
      <c r="B892" s="716"/>
      <c r="C892" s="716"/>
      <c r="D892" s="716"/>
    </row>
    <row r="893" spans="1:4">
      <c r="A893" s="715" t="str">
        <f>IF(ster!$A$1=1,names!B893,IF(ster!$A$1=2,names!C893))</f>
        <v>GAZ ZIEMNY</v>
      </c>
      <c r="B893" s="716" t="s">
        <v>641</v>
      </c>
      <c r="C893" s="716" t="s">
        <v>1257</v>
      </c>
      <c r="D893" s="716"/>
    </row>
    <row r="894" spans="1:4">
      <c r="A894" s="715">
        <f>IF(ster!$A$1=1,names!B894,IF(ster!$A$1=2,names!C894))</f>
        <v>0</v>
      </c>
      <c r="B894" s="716"/>
      <c r="C894" s="716"/>
      <c r="D894" s="716"/>
    </row>
    <row r="895" spans="1:4">
      <c r="A895" s="715" t="str">
        <f>IF(ster!$A$1=1,names!B895,IF(ster!$A$1=2,names!C895))</f>
        <v>Produkcja gazu (w tys. boe)</v>
      </c>
      <c r="B895" s="716" t="s">
        <v>729</v>
      </c>
      <c r="C895" s="716" t="s">
        <v>1258</v>
      </c>
      <c r="D895" s="716"/>
    </row>
    <row r="896" spans="1:4">
      <c r="A896" s="715" t="str">
        <f>IF(ster!$A$1=1,names!B896,IF(ster!$A$1=2,names!C896))</f>
        <v>Polska</v>
      </c>
      <c r="B896" s="716" t="s">
        <v>10</v>
      </c>
      <c r="C896" s="716" t="s">
        <v>884</v>
      </c>
      <c r="D896" s="716"/>
    </row>
    <row r="897" spans="1:4">
      <c r="A897" s="715" t="str">
        <f>IF(ster!$A$1=1,names!B897,IF(ster!$A$1=2,names!C897))</f>
        <v>Norwegia</v>
      </c>
      <c r="B897" s="716" t="s">
        <v>596</v>
      </c>
      <c r="C897" s="716" t="s">
        <v>1252</v>
      </c>
      <c r="D897" s="716"/>
    </row>
    <row r="898" spans="1:4">
      <c r="A898" s="715" t="str">
        <f>IF(ster!$A$1=1,names!B898,IF(ster!$A$1=2,names!C898))</f>
        <v>Kanada</v>
      </c>
      <c r="B898" s="716" t="s">
        <v>566</v>
      </c>
      <c r="C898" s="716" t="s">
        <v>1253</v>
      </c>
      <c r="D898" s="716"/>
    </row>
    <row r="899" spans="1:4">
      <c r="A899" s="715" t="str">
        <f>IF(ster!$A$1=1,names!B899,IF(ster!$A$1=2,names!C899))</f>
        <v>Pakistan</v>
      </c>
      <c r="B899" s="716" t="s">
        <v>656</v>
      </c>
      <c r="C899" s="716" t="s">
        <v>656</v>
      </c>
      <c r="D899" s="716"/>
    </row>
    <row r="900" spans="1:4">
      <c r="A900" s="715" t="str">
        <f>IF(ster!$A$1=1,names!B900,IF(ster!$A$1=2,names!C900))</f>
        <v>Produkcja gazu (TWh)</v>
      </c>
      <c r="B900" s="716" t="s">
        <v>688</v>
      </c>
      <c r="C900" s="716" t="s">
        <v>1259</v>
      </c>
      <c r="D900" s="716"/>
    </row>
    <row r="901" spans="1:4">
      <c r="A901" s="715" t="str">
        <f>IF(ster!$A$1=1,names!B901,IF(ster!$A$1=2,names!C901))</f>
        <v>Polska</v>
      </c>
      <c r="B901" s="716" t="s">
        <v>10</v>
      </c>
      <c r="C901" s="716" t="s">
        <v>884</v>
      </c>
      <c r="D901" s="716"/>
    </row>
    <row r="902" spans="1:4">
      <c r="A902" s="715" t="str">
        <f>IF(ster!$A$1=1,names!B902,IF(ster!$A$1=2,names!C902))</f>
        <v>Norwegia</v>
      </c>
      <c r="B902" s="716" t="s">
        <v>596</v>
      </c>
      <c r="C902" s="716" t="s">
        <v>1252</v>
      </c>
      <c r="D902" s="716"/>
    </row>
    <row r="903" spans="1:4">
      <c r="A903" s="715" t="str">
        <f>IF(ster!$A$1=1,names!B903,IF(ster!$A$1=2,names!C903))</f>
        <v>Kanada</v>
      </c>
      <c r="B903" s="716" t="s">
        <v>566</v>
      </c>
      <c r="C903" s="716" t="s">
        <v>1253</v>
      </c>
      <c r="D903" s="716"/>
    </row>
    <row r="904" spans="1:4">
      <c r="A904" s="715" t="str">
        <f>IF(ster!$A$1=1,names!B904,IF(ster!$A$1=2,names!C904))</f>
        <v>Pakistan</v>
      </c>
      <c r="B904" s="716" t="s">
        <v>656</v>
      </c>
      <c r="C904" s="716" t="s">
        <v>656</v>
      </c>
      <c r="D904" s="716"/>
    </row>
    <row r="905" spans="1:4">
      <c r="A905" s="715" t="str">
        <f>IF(ster!$A$1=1,names!B905,IF(ster!$A$1=2,names!C905))</f>
        <v>Produkcja gazu (mld m3)</v>
      </c>
      <c r="B905" s="716" t="s">
        <v>1243</v>
      </c>
      <c r="C905" s="716" t="s">
        <v>1260</v>
      </c>
      <c r="D905" s="716"/>
    </row>
    <row r="906" spans="1:4">
      <c r="A906" s="715" t="str">
        <f>IF(ster!$A$1=1,names!B906,IF(ster!$A$1=2,names!C906))</f>
        <v>Polska</v>
      </c>
      <c r="B906" s="716" t="s">
        <v>10</v>
      </c>
      <c r="C906" s="716" t="s">
        <v>884</v>
      </c>
      <c r="D906" s="716"/>
    </row>
    <row r="907" spans="1:4">
      <c r="A907" s="715" t="str">
        <f>IF(ster!$A$1=1,names!B907,IF(ster!$A$1=2,names!C907))</f>
        <v>Norwegia</v>
      </c>
      <c r="B907" s="716" t="s">
        <v>596</v>
      </c>
      <c r="C907" s="716" t="s">
        <v>1252</v>
      </c>
      <c r="D907" s="716"/>
    </row>
    <row r="908" spans="1:4">
      <c r="A908" s="715" t="str">
        <f>IF(ster!$A$1=1,names!B908,IF(ster!$A$1=2,names!C908))</f>
        <v>Kanada</v>
      </c>
      <c r="B908" s="716" t="s">
        <v>566</v>
      </c>
      <c r="C908" s="716" t="s">
        <v>1253</v>
      </c>
      <c r="D908" s="716"/>
    </row>
    <row r="909" spans="1:4">
      <c r="A909" s="715" t="str">
        <f>IF(ster!$A$1=1,names!B909,IF(ster!$A$1=2,names!C909))</f>
        <v>Pakistan</v>
      </c>
      <c r="B909" s="716" t="s">
        <v>656</v>
      </c>
      <c r="C909" s="716" t="s">
        <v>656</v>
      </c>
      <c r="D909" s="716"/>
    </row>
    <row r="910" spans="1:4">
      <c r="A910" s="715">
        <f>IF(ster!$A$1=1,names!B910,IF(ster!$A$1=2,names!C910))</f>
        <v>0</v>
      </c>
      <c r="B910" s="716"/>
      <c r="C910" s="716"/>
      <c r="D910" s="716"/>
    </row>
    <row r="911" spans="1:4" ht="32.25">
      <c r="A911" s="715" t="str">
        <f>IF(ster!$A$1=1,names!B911,IF(ster!$A$1=2,names!C911))</f>
        <v>Sprzedaż gazu zaazotowanego (poza GK ORLEN) bezpośrednio do klientów ze źródeł lokalnych w Polsce (w tys. boe)</v>
      </c>
      <c r="B911" s="716" t="s">
        <v>731</v>
      </c>
      <c r="C911" s="716" t="s">
        <v>1261</v>
      </c>
      <c r="D911" s="716"/>
    </row>
    <row r="912" spans="1:4" ht="32.25">
      <c r="A912" s="715" t="str">
        <f>IF(ster!$A$1=1,names!B912,IF(ster!$A$1=2,names!C912))</f>
        <v>Sprzedaż gazu zaazotowanego (poza GK ORLEN) bezpośrednio do klientów ze źródeł lokalnych w Polsce (w TWh)</v>
      </c>
      <c r="B912" s="716" t="s">
        <v>732</v>
      </c>
      <c r="C912" s="716" t="s">
        <v>1262</v>
      </c>
      <c r="D912" s="716"/>
    </row>
    <row r="913" spans="1:4" ht="32.25">
      <c r="A913" s="715" t="str">
        <f>IF(ster!$A$1=1,names!B913,IF(ster!$A$1=2,names!C913))</f>
        <v>Sprzedaż gazu zaazotowanego (poza GK ORLEN) bezpośrednio do klientów ze źródeł lokalnych w Polsce (w mld m3)</v>
      </c>
      <c r="B913" s="716" t="s">
        <v>1244</v>
      </c>
      <c r="C913" s="716" t="s">
        <v>1263</v>
      </c>
      <c r="D913" s="716"/>
    </row>
    <row r="914" spans="1:4">
      <c r="A914" s="715">
        <f>IF(ster!$A$1=1,names!B914,IF(ster!$A$1=2,names!C914))</f>
        <v>0</v>
      </c>
      <c r="B914" s="716"/>
      <c r="C914" s="716"/>
      <c r="D914" s="716"/>
    </row>
    <row r="915" spans="1:4">
      <c r="A915" s="715" t="str">
        <f>IF(ster!$A$1=1,names!B915,IF(ster!$A$1=2,names!C915))</f>
        <v>Sprzedaż gazu poza Grupę ORLEN (w tys. boe)</v>
      </c>
      <c r="B915" s="716" t="s">
        <v>730</v>
      </c>
      <c r="C915" s="716" t="s">
        <v>1264</v>
      </c>
      <c r="D915" s="716"/>
    </row>
    <row r="916" spans="1:4">
      <c r="A916" s="715" t="str">
        <f>IF(ster!$A$1=1,names!B916,IF(ster!$A$1=2,names!C916))</f>
        <v>Sprzedaż gazu poza Grupę ORLEN (TWh)</v>
      </c>
      <c r="B916" s="716" t="s">
        <v>689</v>
      </c>
      <c r="C916" s="716" t="s">
        <v>1265</v>
      </c>
      <c r="D916" s="716"/>
    </row>
    <row r="917" spans="1:4">
      <c r="A917" s="715" t="str">
        <f>IF(ster!$A$1=1,names!B917,IF(ster!$A$1=2,names!C917))</f>
        <v>Sprzedaż gazu poza Grupę ORLEN (mld m3)</v>
      </c>
      <c r="B917" s="716" t="s">
        <v>1245</v>
      </c>
      <c r="C917" s="716" t="s">
        <v>1266</v>
      </c>
      <c r="D917" s="716"/>
    </row>
    <row r="918" spans="1:4">
      <c r="A918" s="715">
        <f>IF(ster!$A$1=1,names!B918,IF(ster!$A$1=2,names!C918))</f>
        <v>0</v>
      </c>
      <c r="B918" s="716"/>
      <c r="C918" s="716"/>
      <c r="D918" s="716"/>
    </row>
    <row r="919" spans="1:4">
      <c r="A919" s="715" t="str">
        <f>IF(ster!$A$1=1,names!B919,IF(ster!$A$1=2,names!C919))</f>
        <v>Gaz</v>
      </c>
      <c r="B919" s="716" t="s">
        <v>615</v>
      </c>
      <c r="C919" s="716" t="s">
        <v>799</v>
      </c>
      <c r="D919" s="716"/>
    </row>
    <row r="920" spans="1:4">
      <c r="A920" s="715">
        <f>IF(ster!$A$1=1,names!B920,IF(ster!$A$1=2,names!C920))</f>
        <v>0</v>
      </c>
      <c r="B920" s="716"/>
      <c r="C920" s="716"/>
      <c r="D920" s="716"/>
    </row>
    <row r="921" spans="1:4">
      <c r="A921" s="715" t="str">
        <f>IF(ster!$A$1=1,names!B921,IF(ster!$A$1=2,names!C921))</f>
        <v>Import do Polski (TWh)</v>
      </c>
      <c r="B921" s="716" t="s">
        <v>690</v>
      </c>
      <c r="C921" s="716" t="s">
        <v>1267</v>
      </c>
      <c r="D921" s="716"/>
    </row>
    <row r="922" spans="1:4">
      <c r="A922" s="715" t="str">
        <f>IF(ster!$A$1=1,names!B922,IF(ster!$A$1=2,names!C922))</f>
        <v xml:space="preserve">   - z kierunku wschodniego, w tym:</v>
      </c>
      <c r="B922" s="716" t="s">
        <v>620</v>
      </c>
      <c r="C922" s="716" t="s">
        <v>1268</v>
      </c>
      <c r="D922" s="716"/>
    </row>
    <row r="923" spans="1:4">
      <c r="A923" s="715" t="str">
        <f>IF(ster!$A$1=1,names!B923,IF(ster!$A$1=2,names!C923))</f>
        <v xml:space="preserve"> Litwa</v>
      </c>
      <c r="B923" s="716" t="s">
        <v>652</v>
      </c>
      <c r="C923" s="716" t="s">
        <v>885</v>
      </c>
      <c r="D923" s="716"/>
    </row>
    <row r="924" spans="1:4">
      <c r="A924" s="715" t="str">
        <f>IF(ster!$A$1=1,names!B924,IF(ster!$A$1=2,names!C924))</f>
        <v xml:space="preserve"> Ukraina</v>
      </c>
      <c r="B924" s="716" t="s">
        <v>748</v>
      </c>
      <c r="C924" s="716" t="s">
        <v>1269</v>
      </c>
      <c r="D924" s="716"/>
    </row>
    <row r="925" spans="1:4">
      <c r="A925" s="715" t="str">
        <f>IF(ster!$A$1=1,names!B925,IF(ster!$A$1=2,names!C925))</f>
        <v xml:space="preserve">   - LNG łącznie, w tym:</v>
      </c>
      <c r="B925" s="716" t="s">
        <v>715</v>
      </c>
      <c r="C925" s="716" t="s">
        <v>1270</v>
      </c>
      <c r="D925" s="716"/>
    </row>
    <row r="926" spans="1:4">
      <c r="A926" s="715" t="str">
        <f>IF(ster!$A$1=1,names!B926,IF(ster!$A$1=2,names!C926))</f>
        <v xml:space="preserve">   - LNG (kontrakty bazujące na Henry hub)</v>
      </c>
      <c r="B926" s="716" t="s">
        <v>691</v>
      </c>
      <c r="C926" s="716" t="s">
        <v>1271</v>
      </c>
      <c r="D926" s="716"/>
    </row>
    <row r="927" spans="1:4">
      <c r="A927" s="715" t="str">
        <f>IF(ster!$A$1=1,names!B927,IF(ster!$A$1=2,names!C927))</f>
        <v xml:space="preserve">   - Interkonektory</v>
      </c>
      <c r="B927" s="716" t="s">
        <v>692</v>
      </c>
      <c r="C927" s="716" t="s">
        <v>1272</v>
      </c>
      <c r="D927" s="716"/>
    </row>
    <row r="928" spans="1:4">
      <c r="A928" s="715" t="str">
        <f>IF(ster!$A$1=1,names!B928,IF(ster!$A$1=2,names!C928))</f>
        <v>Importu do Polski (mld m3)</v>
      </c>
      <c r="B928" s="716" t="s">
        <v>1246</v>
      </c>
      <c r="C928" s="716" t="s">
        <v>1273</v>
      </c>
      <c r="D928" s="716"/>
    </row>
    <row r="929" spans="1:4">
      <c r="A929" s="715" t="str">
        <f>IF(ster!$A$1=1,names!B929,IF(ster!$A$1=2,names!C929))</f>
        <v xml:space="preserve">   - z kierunku wschodniego, w tym:</v>
      </c>
      <c r="B929" s="716" t="s">
        <v>620</v>
      </c>
      <c r="C929" s="716" t="s">
        <v>1268</v>
      </c>
      <c r="D929" s="716"/>
    </row>
    <row r="930" spans="1:4">
      <c r="A930" s="715" t="str">
        <f>IF(ster!$A$1=1,names!B930,IF(ster!$A$1=2,names!C930))</f>
        <v xml:space="preserve"> Litwa</v>
      </c>
      <c r="B930" s="716" t="s">
        <v>652</v>
      </c>
      <c r="C930" s="716" t="s">
        <v>885</v>
      </c>
      <c r="D930" s="716"/>
    </row>
    <row r="931" spans="1:4">
      <c r="A931" s="715" t="str">
        <f>IF(ster!$A$1=1,names!B931,IF(ster!$A$1=2,names!C931))</f>
        <v xml:space="preserve"> Ukraina</v>
      </c>
      <c r="B931" s="716" t="s">
        <v>748</v>
      </c>
      <c r="C931" s="716" t="s">
        <v>1269</v>
      </c>
      <c r="D931" s="716"/>
    </row>
    <row r="932" spans="1:4">
      <c r="A932" s="715" t="str">
        <f>IF(ster!$A$1=1,names!B932,IF(ster!$A$1=2,names!C932))</f>
        <v xml:space="preserve">   - LNG łącznie, w tym:</v>
      </c>
      <c r="B932" s="716" t="s">
        <v>715</v>
      </c>
      <c r="C932" s="716" t="s">
        <v>1274</v>
      </c>
      <c r="D932" s="716"/>
    </row>
    <row r="933" spans="1:4">
      <c r="A933" s="715" t="str">
        <f>IF(ster!$A$1=1,names!B933,IF(ster!$A$1=2,names!C933))</f>
        <v xml:space="preserve">   - LNG (kontrakty bazujące na Henry hub)</v>
      </c>
      <c r="B933" s="716" t="s">
        <v>691</v>
      </c>
      <c r="C933" s="716" t="s">
        <v>1275</v>
      </c>
      <c r="D933" s="716"/>
    </row>
    <row r="934" spans="1:4">
      <c r="A934" s="715" t="str">
        <f>IF(ster!$A$1=1,names!B934,IF(ster!$A$1=2,names!C934))</f>
        <v xml:space="preserve">   - Interkonektory</v>
      </c>
      <c r="B934" s="716" t="s">
        <v>692</v>
      </c>
      <c r="C934" s="716" t="s">
        <v>1272</v>
      </c>
      <c r="D934" s="716"/>
    </row>
    <row r="935" spans="1:4">
      <c r="A935" s="715" t="str">
        <f>IF(ster!$A$1=1,names!B935,IF(ster!$A$1=2,names!C935))</f>
        <v>Sprzedaż poza Grupę ORLEN (TWh)</v>
      </c>
      <c r="B935" s="716" t="s">
        <v>693</v>
      </c>
      <c r="C935" s="716" t="s">
        <v>1276</v>
      </c>
      <c r="D935" s="716"/>
    </row>
    <row r="936" spans="1:4">
      <c r="A936" s="715" t="str">
        <f>IF(ster!$A$1=1,names!B936,IF(ster!$A$1=2,names!C936))</f>
        <v xml:space="preserve"> - ORLEN S.A., Oddział Centralny PGNiG:</v>
      </c>
      <c r="B936" s="716" t="s">
        <v>726</v>
      </c>
      <c r="C936" s="716" t="s">
        <v>726</v>
      </c>
      <c r="D936" s="716"/>
    </row>
    <row r="937" spans="1:4">
      <c r="A937" s="715" t="str">
        <f>IF(ster!$A$1=1,names!B937,IF(ster!$A$1=2,names!C937))</f>
        <v>Towarowa Giełda Energii</v>
      </c>
      <c r="B937" s="716" t="s">
        <v>653</v>
      </c>
      <c r="C937" s="716" t="s">
        <v>1277</v>
      </c>
      <c r="D937" s="716"/>
    </row>
    <row r="938" spans="1:4">
      <c r="A938" s="715" t="str">
        <f>IF(ster!$A$1=1,names!B938,IF(ster!$A$1=2,names!C938))</f>
        <v>Dla przemysłu</v>
      </c>
      <c r="B938" s="716" t="s">
        <v>694</v>
      </c>
      <c r="C938" s="716" t="s">
        <v>1278</v>
      </c>
      <c r="D938" s="716"/>
    </row>
    <row r="939" spans="1:4">
      <c r="A939" s="715" t="str">
        <f>IF(ster!$A$1=1,names!B939,IF(ster!$A$1=2,names!C939))</f>
        <v xml:space="preserve"> - PGNiG Obrót Detaliczny</v>
      </c>
      <c r="B939" s="716" t="s">
        <v>625</v>
      </c>
      <c r="C939" s="716" t="s">
        <v>625</v>
      </c>
      <c r="D939" s="716"/>
    </row>
    <row r="940" spans="1:4">
      <c r="A940" s="715" t="str">
        <f>IF(ster!$A$1=1,names!B940,IF(ster!$A$1=2,names!C940))</f>
        <v xml:space="preserve"> PGNIG OD Taryfowy</v>
      </c>
      <c r="B940" s="716" t="s">
        <v>695</v>
      </c>
      <c r="C940" s="716" t="s">
        <v>695</v>
      </c>
      <c r="D940" s="716"/>
    </row>
    <row r="941" spans="1:4">
      <c r="A941" s="715" t="str">
        <f>IF(ster!$A$1=1,names!B941,IF(ster!$A$1=2,names!C941))</f>
        <v>PGNiG OD Nie-taryfowy</v>
      </c>
      <c r="B941" s="716" t="s">
        <v>696</v>
      </c>
      <c r="C941" s="716" t="s">
        <v>696</v>
      </c>
      <c r="D941" s="716"/>
    </row>
    <row r="942" spans="1:4">
      <c r="A942" s="715" t="str">
        <f>IF(ster!$A$1=1,names!B942,IF(ster!$A$1=2,names!C942))</f>
        <v xml:space="preserve"> - PGNiG Supply &amp; Trading </v>
      </c>
      <c r="B942" s="716" t="s">
        <v>624</v>
      </c>
      <c r="C942" s="716" t="s">
        <v>624</v>
      </c>
      <c r="D942" s="716"/>
    </row>
    <row r="943" spans="1:4">
      <c r="A943" s="715" t="str">
        <f>IF(ster!$A$1=1,names!B943,IF(ster!$A$1=2,names!C943))</f>
        <v>Sprzedaż wewnętrz Grupy ORLEN (TWh)</v>
      </c>
      <c r="B943" s="716" t="s">
        <v>697</v>
      </c>
      <c r="C943" s="716" t="s">
        <v>1279</v>
      </c>
      <c r="D943" s="716"/>
    </row>
    <row r="944" spans="1:4">
      <c r="A944" s="715" t="str">
        <f>IF(ster!$A$1=1,names!B944,IF(ster!$A$1=2,names!C944))</f>
        <v>do segmentu Upstream &amp; Supply</v>
      </c>
      <c r="B944" s="716" t="s">
        <v>1814</v>
      </c>
      <c r="C944" s="847" t="s">
        <v>1818</v>
      </c>
      <c r="D944" s="716"/>
    </row>
    <row r="945" spans="1:4">
      <c r="A945" s="715" t="str">
        <f>IF(ster!$A$1=1,names!B945,IF(ster!$A$1=2,names!C945))</f>
        <v>do segmentu Downstream</v>
      </c>
      <c r="B945" s="716" t="s">
        <v>1815</v>
      </c>
      <c r="C945" s="847" t="s">
        <v>1681</v>
      </c>
      <c r="D945" s="716"/>
    </row>
    <row r="946" spans="1:4">
      <c r="A946" s="715" t="str">
        <f>IF(ster!$A$1=1,names!B946,IF(ster!$A$1=2,names!C946))</f>
        <v>do segmentu Energy</v>
      </c>
      <c r="B946" s="716" t="s">
        <v>1816</v>
      </c>
      <c r="C946" s="847" t="s">
        <v>796</v>
      </c>
      <c r="D946" s="716"/>
    </row>
    <row r="947" spans="1:4">
      <c r="A947" s="715" t="str">
        <f>IF(ster!$A$1=1,names!B947,IF(ster!$A$1=2,names!C947))</f>
        <v>do segmentu Consumer &amp; Products</v>
      </c>
      <c r="B947" s="716" t="s">
        <v>1817</v>
      </c>
      <c r="C947" s="847" t="s">
        <v>1819</v>
      </c>
      <c r="D947" s="716"/>
    </row>
    <row r="948" spans="1:4">
      <c r="A948" s="715" t="str">
        <f>IF(ster!$A$1=1,names!B948,IF(ster!$A$1=2,names!C948))</f>
        <v>do segmentu Upstream</v>
      </c>
      <c r="B948" s="716" t="s">
        <v>737</v>
      </c>
      <c r="C948" s="716" t="s">
        <v>798</v>
      </c>
      <c r="D948" s="716"/>
    </row>
    <row r="949" spans="1:4">
      <c r="A949" s="715" t="str">
        <f>IF(ster!$A$1=1,names!B949,IF(ster!$A$1=2,names!C949))</f>
        <v>do segmentu Gaz</v>
      </c>
      <c r="B949" s="716" t="s">
        <v>738</v>
      </c>
      <c r="C949" s="716" t="s">
        <v>799</v>
      </c>
      <c r="D949" s="716"/>
    </row>
    <row r="950" spans="1:4">
      <c r="A950" s="715" t="str">
        <f>IF(ster!$A$1=1,names!B950,IF(ster!$A$1=2,names!C950))</f>
        <v>do segmentu Pozostałe</v>
      </c>
      <c r="B950" s="716" t="s">
        <v>739</v>
      </c>
      <c r="C950" s="716" t="s">
        <v>800</v>
      </c>
      <c r="D950" s="716"/>
    </row>
    <row r="951" spans="1:4">
      <c r="A951" s="715" t="str">
        <f>IF(ster!$A$1=1,names!B951,IF(ster!$A$1=2,names!C951))</f>
        <v>Sprzedaż poza Grupę ORLEN (mld m3)</v>
      </c>
      <c r="B951" s="716" t="s">
        <v>1247</v>
      </c>
      <c r="C951" s="716" t="s">
        <v>1280</v>
      </c>
      <c r="D951" s="716"/>
    </row>
    <row r="952" spans="1:4">
      <c r="A952" s="715" t="str">
        <f>IF(ster!$A$1=1,names!B952,IF(ster!$A$1=2,names!C952))</f>
        <v xml:space="preserve"> - PGNiG SA:</v>
      </c>
      <c r="B952" s="716" t="s">
        <v>623</v>
      </c>
      <c r="C952" s="716" t="s">
        <v>623</v>
      </c>
      <c r="D952" s="716"/>
    </row>
    <row r="953" spans="1:4">
      <c r="A953" s="715" t="str">
        <f>IF(ster!$A$1=1,names!B953,IF(ster!$A$1=2,names!C953))</f>
        <v>Towarowa Giełda Energii</v>
      </c>
      <c r="B953" s="716" t="s">
        <v>653</v>
      </c>
      <c r="C953" s="716" t="s">
        <v>1277</v>
      </c>
      <c r="D953" s="716"/>
    </row>
    <row r="954" spans="1:4">
      <c r="A954" s="715" t="str">
        <f>IF(ster!$A$1=1,names!B954,IF(ster!$A$1=2,names!C954))</f>
        <v>Dla przemysłu</v>
      </c>
      <c r="B954" s="716" t="s">
        <v>694</v>
      </c>
      <c r="C954" s="716" t="s">
        <v>1278</v>
      </c>
      <c r="D954" s="716"/>
    </row>
    <row r="955" spans="1:4">
      <c r="A955" s="715" t="str">
        <f>IF(ster!$A$1=1,names!B955,IF(ster!$A$1=2,names!C955))</f>
        <v xml:space="preserve"> - PGNiG Obrót Detaliczny</v>
      </c>
      <c r="B955" s="716" t="s">
        <v>625</v>
      </c>
      <c r="C955" s="716" t="s">
        <v>625</v>
      </c>
      <c r="D955" s="716"/>
    </row>
    <row r="956" spans="1:4">
      <c r="A956" s="715" t="str">
        <f>IF(ster!$A$1=1,names!B956,IF(ster!$A$1=2,names!C956))</f>
        <v xml:space="preserve"> PGNIG OD Taryfowy</v>
      </c>
      <c r="B956" s="716" t="s">
        <v>695</v>
      </c>
      <c r="C956" s="716" t="s">
        <v>695</v>
      </c>
      <c r="D956" s="716"/>
    </row>
    <row r="957" spans="1:4">
      <c r="A957" s="715" t="str">
        <f>IF(ster!$A$1=1,names!B957,IF(ster!$A$1=2,names!C957))</f>
        <v>PGNiG OD Nie-taryfowy</v>
      </c>
      <c r="B957" s="716" t="s">
        <v>696</v>
      </c>
      <c r="C957" s="716" t="s">
        <v>696</v>
      </c>
      <c r="D957" s="716"/>
    </row>
    <row r="958" spans="1:4">
      <c r="A958" s="715" t="str">
        <f>IF(ster!$A$1=1,names!B958,IF(ster!$A$1=2,names!C958))</f>
        <v xml:space="preserve"> - PGNiG Supply &amp; Trading </v>
      </c>
      <c r="B958" s="716" t="s">
        <v>624</v>
      </c>
      <c r="C958" s="716" t="s">
        <v>624</v>
      </c>
      <c r="D958" s="716"/>
    </row>
    <row r="959" spans="1:4">
      <c r="A959" s="715" t="str">
        <f>IF(ster!$A$1=1,names!B959,IF(ster!$A$1=2,names!C959))</f>
        <v>Sprzedaż wewnętrz Grupy ORLEN (mld m3)</v>
      </c>
      <c r="B959" s="716" t="s">
        <v>1248</v>
      </c>
      <c r="C959" s="716" t="s">
        <v>1281</v>
      </c>
      <c r="D959" s="716"/>
    </row>
    <row r="960" spans="1:4">
      <c r="A960" s="715" t="str">
        <f>IF(ster!$A$1=1,names!B960,IF(ster!$A$1=2,names!C960))</f>
        <v>do segmentu Rafineria</v>
      </c>
      <c r="B960" s="716" t="s">
        <v>733</v>
      </c>
      <c r="C960" s="716" t="s">
        <v>794</v>
      </c>
      <c r="D960" s="716"/>
    </row>
    <row r="961" spans="1:4">
      <c r="A961" s="715" t="str">
        <f>IF(ster!$A$1=1,names!B961,IF(ster!$A$1=2,names!C961))</f>
        <v>do segmentu Petrochemia</v>
      </c>
      <c r="B961" s="716" t="s">
        <v>734</v>
      </c>
      <c r="C961" s="716" t="s">
        <v>795</v>
      </c>
      <c r="D961" s="716"/>
    </row>
    <row r="962" spans="1:4">
      <c r="A962" s="715" t="str">
        <f>IF(ster!$A$1=1,names!B962,IF(ster!$A$1=2,names!C962))</f>
        <v>do segmentu Energetyka</v>
      </c>
      <c r="B962" s="716" t="s">
        <v>735</v>
      </c>
      <c r="C962" s="716" t="s">
        <v>796</v>
      </c>
      <c r="D962" s="716"/>
    </row>
    <row r="963" spans="1:4">
      <c r="A963" s="715" t="str">
        <f>IF(ster!$A$1=1,names!B963,IF(ster!$A$1=2,names!C963))</f>
        <v>do segmentu Detal</v>
      </c>
      <c r="B963" s="716" t="s">
        <v>736</v>
      </c>
      <c r="C963" s="716" t="s">
        <v>797</v>
      </c>
      <c r="D963" s="716"/>
    </row>
    <row r="964" spans="1:4">
      <c r="A964" s="715" t="str">
        <f>IF(ster!$A$1=1,names!B964,IF(ster!$A$1=2,names!C964))</f>
        <v>do segmentu Upstream</v>
      </c>
      <c r="B964" s="716" t="s">
        <v>737</v>
      </c>
      <c r="C964" s="716" t="s">
        <v>798</v>
      </c>
      <c r="D964" s="716"/>
    </row>
    <row r="965" spans="1:4">
      <c r="A965" s="715" t="str">
        <f>IF(ster!$A$1=1,names!B965,IF(ster!$A$1=2,names!C965))</f>
        <v>do segmentu Gaz</v>
      </c>
      <c r="B965" s="716" t="s">
        <v>738</v>
      </c>
      <c r="C965" s="716" t="s">
        <v>799</v>
      </c>
      <c r="D965" s="716"/>
    </row>
    <row r="966" spans="1:4">
      <c r="A966" s="715" t="str">
        <f>IF(ster!$A$1=1,names!B966,IF(ster!$A$1=2,names!C966))</f>
        <v>do segmentu Pozostałe</v>
      </c>
      <c r="B966" s="716" t="s">
        <v>739</v>
      </c>
      <c r="C966" s="716" t="s">
        <v>800</v>
      </c>
      <c r="D966" s="716"/>
    </row>
    <row r="967" spans="1:4">
      <c r="A967" s="715" t="str">
        <f>IF(ster!$A$1=1,names!B967,IF(ster!$A$1=2,names!C967))</f>
        <v>Wolumen dystrybucji gazów (TWh)</v>
      </c>
      <c r="B967" s="716" t="s">
        <v>740</v>
      </c>
      <c r="C967" s="716" t="s">
        <v>1282</v>
      </c>
      <c r="D967" s="716"/>
    </row>
    <row r="968" spans="1:4">
      <c r="A968" s="715" t="str">
        <f>IF(ster!$A$1=1,names!B968,IF(ster!$A$1=2,names!C968))</f>
        <v>Wolumen dystrybucji gazów (mld m3)</v>
      </c>
      <c r="B968" s="716" t="s">
        <v>1249</v>
      </c>
      <c r="C968" s="716" t="s">
        <v>1283</v>
      </c>
      <c r="D968" s="716"/>
    </row>
    <row r="969" spans="1:4">
      <c r="A969" s="715">
        <f>IF(ster!$A$1=1,names!B969,IF(ster!$A$1=2,names!C969))</f>
        <v>0</v>
      </c>
      <c r="B969" s="716"/>
      <c r="C969" s="716"/>
      <c r="D969" s="716"/>
    </row>
    <row r="970" spans="1:4">
      <c r="A970" s="715" t="str">
        <f>IF(ster!$A$1=1,names!B970,IF(ster!$A$1=2,names!C970))</f>
        <v>Wypełnienie magazynów Grupa ORLEN (TWh)</v>
      </c>
      <c r="B970" s="716" t="s">
        <v>741</v>
      </c>
      <c r="C970" s="716" t="s">
        <v>1284</v>
      </c>
      <c r="D970" s="716"/>
    </row>
    <row r="971" spans="1:4" ht="32.25">
      <c r="A971" s="715" t="str">
        <f>IF(ster!$A$1=1,names!B971,IF(ster!$A$1=2,names!C971))</f>
        <v>Wypełnienie magazynów Grupa ORLEN (mld m3)</v>
      </c>
      <c r="B971" s="716" t="s">
        <v>742</v>
      </c>
      <c r="C971" s="716" t="s">
        <v>1285</v>
      </c>
      <c r="D971" s="716"/>
    </row>
    <row r="972" spans="1:4">
      <c r="A972" s="715">
        <f>IF(ster!$A$1=1,names!B972,IF(ster!$A$1=2,names!C972))</f>
        <v>0</v>
      </c>
      <c r="B972" s="716"/>
      <c r="C972" s="716"/>
      <c r="D972" s="716"/>
    </row>
    <row r="973" spans="1:4">
      <c r="A973" s="715" t="str">
        <f>IF(ster!$A$1=1,names!B973,IF(ster!$A$1=2,names!C973))</f>
        <v>Dane operacyjne Energy</v>
      </c>
      <c r="B973" s="716" t="s">
        <v>1813</v>
      </c>
      <c r="C973" s="716" t="s">
        <v>796</v>
      </c>
      <c r="D973" s="716"/>
    </row>
    <row r="974" spans="1:4">
      <c r="A974" s="715">
        <f>IF(ster!$A$1=1,names!B974,IF(ster!$A$1=2,names!C974))</f>
        <v>0</v>
      </c>
      <c r="B974" s="716"/>
      <c r="C974" s="716"/>
      <c r="D974" s="716"/>
    </row>
    <row r="975" spans="1:4">
      <c r="A975" s="715" t="str">
        <f>IF(ster!$A$1=1,names!B975,IF(ster!$A$1=2,names!C975))</f>
        <v>ENERGIA ELEKTRYCZNA</v>
      </c>
      <c r="B975" s="716" t="s">
        <v>699</v>
      </c>
      <c r="C975" s="716" t="s">
        <v>1287</v>
      </c>
      <c r="D975" s="716"/>
    </row>
    <row r="976" spans="1:4">
      <c r="A976" s="715">
        <f>IF(ster!$A$1=1,names!B976,IF(ster!$A$1=2,names!C976))</f>
        <v>0</v>
      </c>
      <c r="B976" s="716"/>
      <c r="C976" s="716"/>
      <c r="D976" s="716"/>
    </row>
    <row r="977" spans="1:4">
      <c r="A977" s="715" t="str">
        <f>IF(ster!$A$1=1,names!B977,IF(ster!$A$1=2,names!C977))</f>
        <v>Moc zainstalowana (GWe)</v>
      </c>
      <c r="B977" s="716" t="s">
        <v>700</v>
      </c>
      <c r="C977" s="716" t="s">
        <v>1288</v>
      </c>
      <c r="D977" s="716"/>
    </row>
    <row r="978" spans="1:4">
      <c r="A978" s="715" t="str">
        <f>IF(ster!$A$1=1,names!B978,IF(ster!$A$1=2,names!C978))</f>
        <v xml:space="preserve">  OZE</v>
      </c>
      <c r="B978" s="716" t="s">
        <v>607</v>
      </c>
      <c r="C978" s="716" t="s">
        <v>1289</v>
      </c>
      <c r="D978" s="716"/>
    </row>
    <row r="979" spans="1:4">
      <c r="A979" s="715" t="str">
        <f>IF(ster!$A$1=1,names!B979,IF(ster!$A$1=2,names!C979))</f>
        <v xml:space="preserve">  Gaz</v>
      </c>
      <c r="B979" s="716" t="s">
        <v>606</v>
      </c>
      <c r="C979" s="716" t="s">
        <v>1290</v>
      </c>
      <c r="D979" s="716"/>
    </row>
    <row r="980" spans="1:4">
      <c r="A980" s="715" t="str">
        <f>IF(ster!$A$1=1,names!B980,IF(ster!$A$1=2,names!C980))</f>
        <v xml:space="preserve">  Olej opałowy</v>
      </c>
      <c r="B980" s="716" t="s">
        <v>609</v>
      </c>
      <c r="C980" s="716" t="s">
        <v>1291</v>
      </c>
      <c r="D980" s="716"/>
    </row>
    <row r="981" spans="1:4">
      <c r="A981" s="715" t="str">
        <f>IF(ster!$A$1=1,names!B981,IF(ster!$A$1=2,names!C981))</f>
        <v xml:space="preserve">  Węgiel</v>
      </c>
      <c r="B981" s="716" t="s">
        <v>610</v>
      </c>
      <c r="C981" s="716" t="s">
        <v>1292</v>
      </c>
      <c r="D981" s="716"/>
    </row>
    <row r="982" spans="1:4">
      <c r="A982" s="715" t="str">
        <f>IF(ster!$A$1=1,names!B982,IF(ster!$A$1=2,names!C982))</f>
        <v xml:space="preserve">  Pozostałe</v>
      </c>
      <c r="B982" s="716" t="s">
        <v>608</v>
      </c>
      <c r="C982" s="716" t="s">
        <v>917</v>
      </c>
      <c r="D982" s="716"/>
    </row>
    <row r="983" spans="1:4">
      <c r="A983" s="715" t="str">
        <f>IF(ster!$A$1=1,names!B983,IF(ster!$A$1=2,names!C983))</f>
        <v>Produkcja (TWh)</v>
      </c>
      <c r="B983" s="716" t="s">
        <v>701</v>
      </c>
      <c r="C983" s="716" t="s">
        <v>1293</v>
      </c>
      <c r="D983" s="716"/>
    </row>
    <row r="984" spans="1:4">
      <c r="A984" s="715" t="str">
        <f>IF(ster!$A$1=1,names!B984,IF(ster!$A$1=2,names!C984))</f>
        <v xml:space="preserve">  OZE</v>
      </c>
      <c r="B984" s="716" t="s">
        <v>607</v>
      </c>
      <c r="C984" s="716" t="s">
        <v>1289</v>
      </c>
      <c r="D984" s="716"/>
    </row>
    <row r="985" spans="1:4">
      <c r="A985" s="715" t="str">
        <f>IF(ster!$A$1=1,names!B985,IF(ster!$A$1=2,names!C985))</f>
        <v xml:space="preserve">  Gaz</v>
      </c>
      <c r="B985" s="716" t="s">
        <v>606</v>
      </c>
      <c r="C985" s="716" t="s">
        <v>1290</v>
      </c>
      <c r="D985" s="716"/>
    </row>
    <row r="986" spans="1:4">
      <c r="A986" s="715" t="str">
        <f>IF(ster!$A$1=1,names!B986,IF(ster!$A$1=2,names!C986))</f>
        <v xml:space="preserve">  Wielopaliwowe, głównie olej opałowy</v>
      </c>
      <c r="B986" s="716" t="s">
        <v>718</v>
      </c>
      <c r="C986" s="716" t="s">
        <v>1291</v>
      </c>
      <c r="D986" s="716"/>
    </row>
    <row r="987" spans="1:4">
      <c r="A987" s="715" t="str">
        <f>IF(ster!$A$1=1,names!B987,IF(ster!$A$1=2,names!C987))</f>
        <v xml:space="preserve">  Węgiel</v>
      </c>
      <c r="B987" s="716" t="s">
        <v>610</v>
      </c>
      <c r="C987" s="716" t="s">
        <v>1292</v>
      </c>
      <c r="D987" s="716"/>
    </row>
    <row r="988" spans="1:4">
      <c r="A988" s="715" t="str">
        <f>IF(ster!$A$1=1,names!B988,IF(ster!$A$1=2,names!C988))</f>
        <v xml:space="preserve">  Pozostałe</v>
      </c>
      <c r="B988" s="716" t="s">
        <v>608</v>
      </c>
      <c r="C988" s="716" t="s">
        <v>917</v>
      </c>
      <c r="D988" s="716"/>
    </row>
    <row r="989" spans="1:4">
      <c r="A989" s="715" t="str">
        <f>IF(ster!$A$1=1,names!B989,IF(ster!$A$1=2,names!C989))</f>
        <v xml:space="preserve">Sprzedaż poza Grupę ORLEN (TWh) </v>
      </c>
      <c r="B989" s="716" t="s">
        <v>702</v>
      </c>
      <c r="C989" s="716" t="s">
        <v>1294</v>
      </c>
      <c r="D989" s="716"/>
    </row>
    <row r="990" spans="1:4">
      <c r="A990" s="715" t="str">
        <f>IF(ster!$A$1=1,names!B990,IF(ster!$A$1=2,names!C990))</f>
        <v xml:space="preserve"> - na rynku detalicznym </v>
      </c>
      <c r="B990" s="716" t="s">
        <v>703</v>
      </c>
      <c r="C990" s="716" t="s">
        <v>1295</v>
      </c>
      <c r="D990" s="716"/>
    </row>
    <row r="991" spans="1:4">
      <c r="A991" s="715" t="str">
        <f>IF(ster!$A$1=1,names!B991,IF(ster!$A$1=2,names!C991))</f>
        <v xml:space="preserve"> - na rynku hurtowym</v>
      </c>
      <c r="B991" s="716" t="s">
        <v>704</v>
      </c>
      <c r="C991" s="716" t="s">
        <v>1296</v>
      </c>
      <c r="D991" s="716"/>
    </row>
    <row r="992" spans="1:4">
      <c r="A992" s="715" t="str">
        <f>IF(ster!$A$1=1,names!B992,IF(ster!$A$1=2,names!C992))</f>
        <v xml:space="preserve">Sprzedaż wewnętrz Grupy ORLEN (TWh) </v>
      </c>
      <c r="B992" s="716" t="s">
        <v>705</v>
      </c>
      <c r="C992" s="716" t="s">
        <v>1297</v>
      </c>
      <c r="D992" s="716"/>
    </row>
    <row r="993" spans="1:5">
      <c r="A993" s="715" t="str">
        <f>IF(ster!$A$1=1,names!B993,IF(ster!$A$1=2,names!C993))</f>
        <v>Dystrybucja (TWh)</v>
      </c>
      <c r="B993" s="716" t="s">
        <v>698</v>
      </c>
      <c r="C993" s="716" t="s">
        <v>1282</v>
      </c>
      <c r="D993" s="716"/>
    </row>
    <row r="994" spans="1:5">
      <c r="A994" s="715">
        <f>IF(ster!$A$1=1,names!B994,IF(ster!$A$1=2,names!C994))</f>
        <v>0</v>
      </c>
      <c r="B994" s="716"/>
      <c r="C994" s="716"/>
      <c r="D994" s="716"/>
    </row>
    <row r="995" spans="1:5">
      <c r="A995" s="715" t="str">
        <f>IF(ster!$A$1=1,names!B995,IF(ster!$A$1=2,names!C995))</f>
        <v>CIEPŁO</v>
      </c>
      <c r="B995" s="716" t="s">
        <v>706</v>
      </c>
      <c r="C995" s="716" t="s">
        <v>1298</v>
      </c>
      <c r="D995" s="716"/>
    </row>
    <row r="996" spans="1:5">
      <c r="A996" s="715">
        <f>IF(ster!$A$1=1,names!B996,IF(ster!$A$1=2,names!C996))</f>
        <v>0</v>
      </c>
      <c r="B996" s="716"/>
      <c r="C996" s="716"/>
      <c r="D996" s="716"/>
    </row>
    <row r="997" spans="1:5">
      <c r="A997" s="715" t="str">
        <f>IF(ster!$A$1=1,names!B997,IF(ster!$A$1=2,names!C997))</f>
        <v>Moc zainstalowana (GWt)</v>
      </c>
      <c r="B997" s="716" t="s">
        <v>713</v>
      </c>
      <c r="C997" s="716" t="s">
        <v>1299</v>
      </c>
      <c r="D997" s="716"/>
    </row>
    <row r="998" spans="1:5">
      <c r="A998" s="715" t="str">
        <f>IF(ster!$A$1=1,names!B998,IF(ster!$A$1=2,names!C998))</f>
        <v>Produkcja ciepła użytkowego (PJ)</v>
      </c>
      <c r="B998" s="716" t="s">
        <v>714</v>
      </c>
      <c r="C998" s="716" t="s">
        <v>1300</v>
      </c>
      <c r="D998" s="716"/>
    </row>
    <row r="999" spans="1:5">
      <c r="A999" s="715" t="str">
        <f>IF(ster!$A$1=1,names!B999,IF(ster!$A$1=2,names!C999))</f>
        <v>Sprzedaż poza Grupę ORLEN (PJ)</v>
      </c>
      <c r="B999" s="716" t="s">
        <v>707</v>
      </c>
      <c r="C999" s="716" t="s">
        <v>1301</v>
      </c>
      <c r="D999" s="716"/>
    </row>
    <row r="1000" spans="1:5">
      <c r="A1000" s="715">
        <f>IF(ster!$A$1=1,names!B1000,IF(ster!$A$1=2,names!C1000))</f>
        <v>0</v>
      </c>
      <c r="B1000" s="716"/>
      <c r="C1000" s="716"/>
      <c r="D1000" s="716"/>
    </row>
    <row r="1001" spans="1:5">
      <c r="A1001" s="715" t="str">
        <f>IF(ster!$A$1=1,names!B1001,IF(ster!$A$1=2,names!C1001))</f>
        <v>Dane historyczne</v>
      </c>
      <c r="B1001" s="717" t="s">
        <v>582</v>
      </c>
      <c r="C1001" s="716" t="s">
        <v>806</v>
      </c>
      <c r="D1001" s="716"/>
    </row>
    <row r="1002" spans="1:5">
      <c r="A1002" s="715">
        <f>IF(ster!$A$1=1,names!B1002,IF(ster!$A$1=2,names!C1002))</f>
        <v>0</v>
      </c>
      <c r="B1002" s="716"/>
      <c r="C1002" s="716"/>
      <c r="D1002" s="716"/>
    </row>
    <row r="1003" spans="1:5">
      <c r="A1003" s="715" t="str">
        <f>IF(ster!$A$1=1,names!B1003,IF(ster!$A$1=2,names!C1003))</f>
        <v>Kluczowe dane finansowe</v>
      </c>
      <c r="B1003" s="717" t="s">
        <v>261</v>
      </c>
      <c r="C1003" s="716" t="s">
        <v>792</v>
      </c>
      <c r="D1003" s="716"/>
      <c r="E1003" s="709" t="s">
        <v>1303</v>
      </c>
    </row>
    <row r="1004" spans="1:5">
      <c r="A1004" s="715">
        <f>IF(ster!$A$1=1,names!B1004,IF(ster!$A$1=2,names!C1004))</f>
        <v>0</v>
      </c>
      <c r="B1004" s="716"/>
      <c r="C1004" s="716"/>
      <c r="D1004" s="716"/>
    </row>
    <row r="1005" spans="1:5" ht="32.25">
      <c r="A1005" s="715" t="str">
        <f>IF(ster!$A$1=1,names!B1005,IF(ster!$A$1=2,names!C1005))</f>
        <v>Kluczowe dane finansowe
[mln PLN]</v>
      </c>
      <c r="B1005" s="716" t="s">
        <v>213</v>
      </c>
      <c r="C1005" s="716" t="s">
        <v>902</v>
      </c>
      <c r="D1005" s="716"/>
    </row>
    <row r="1006" spans="1:5">
      <c r="A1006" s="715">
        <f>IF(ster!$A$1=1,names!B1006,IF(ster!$A$1=2,names!C1006))</f>
        <v>0</v>
      </c>
      <c r="B1006" s="716"/>
      <c r="C1006" s="716"/>
      <c r="D1006" s="716"/>
    </row>
    <row r="1007" spans="1:5">
      <c r="A1007" s="715" t="str">
        <f>IF(ster!$A$1=1,names!B1007,IF(ster!$A$1=2,names!C1007))</f>
        <v>Przychody ze sprzedaży</v>
      </c>
      <c r="B1007" s="716" t="s">
        <v>57</v>
      </c>
      <c r="C1007" s="716" t="s">
        <v>903</v>
      </c>
      <c r="D1007" s="716"/>
    </row>
    <row r="1008" spans="1:5" ht="48">
      <c r="A1008" s="715" t="str">
        <f>IF(ster!$A$1=1,names!B1008,IF(ster!$A$1=2,names!C1008))</f>
        <v>Zysk/(Strata) z działalności operacyjnej wg LIFO powiększona o amortyzację (EBITDA LIFO) przed odpisem aktualizującym**, w tym:</v>
      </c>
      <c r="B1008" s="716" t="s">
        <v>1302</v>
      </c>
      <c r="C1008" s="716" t="s">
        <v>1304</v>
      </c>
      <c r="D1008" s="716"/>
    </row>
    <row r="1009" spans="1:6">
      <c r="A1009" s="715" t="str">
        <f>IF(ster!$A$1=1,names!B1009,IF(ster!$A$1=2,names!C1009))</f>
        <v xml:space="preserve">  Downstream</v>
      </c>
      <c r="B1009" s="716" t="s">
        <v>214</v>
      </c>
      <c r="C1009" s="716" t="s">
        <v>214</v>
      </c>
      <c r="D1009" s="716"/>
    </row>
    <row r="1010" spans="1:6">
      <c r="A1010" s="715" t="str">
        <f>IF(ster!$A$1=1,names!B1010,IF(ster!$A$1=2,names!C1010))</f>
        <v xml:space="preserve">  Detal</v>
      </c>
      <c r="B1010" s="716" t="s">
        <v>215</v>
      </c>
      <c r="C1010" s="716" t="s">
        <v>908</v>
      </c>
      <c r="D1010" s="716"/>
    </row>
    <row r="1011" spans="1:6">
      <c r="A1011" s="715" t="str">
        <f>IF(ster!$A$1=1,names!B1011,IF(ster!$A$1=2,names!C1011))</f>
        <v xml:space="preserve">  Wydobycie</v>
      </c>
      <c r="B1011" s="716" t="s">
        <v>216</v>
      </c>
      <c r="C1011" s="716" t="s">
        <v>909</v>
      </c>
      <c r="D1011" s="716"/>
    </row>
    <row r="1012" spans="1:6">
      <c r="A1012" s="715" t="str">
        <f>IF(ster!$A$1=1,names!B1012,IF(ster!$A$1=2,names!C1012))</f>
        <v xml:space="preserve">  Corporate functions 1)</v>
      </c>
      <c r="B1012" s="716" t="s">
        <v>1454</v>
      </c>
      <c r="C1012" s="716" t="s">
        <v>1454</v>
      </c>
      <c r="D1012" s="716"/>
    </row>
    <row r="1013" spans="1:6" ht="32.25">
      <c r="A1013" s="715" t="str">
        <f>IF(ster!$A$1=1,names!B1013,IF(ster!$A$1=2,names!C1013))</f>
        <v>Zysk/(Strata) z działalności operacyjnej wg LIFO powiększona o amortyzację (EBITDA LIFO), w tym:</v>
      </c>
      <c r="B1013" s="716" t="s">
        <v>217</v>
      </c>
      <c r="C1013" s="716" t="s">
        <v>1305</v>
      </c>
      <c r="D1013" s="716"/>
    </row>
    <row r="1014" spans="1:6">
      <c r="A1014" s="715" t="str">
        <f>IF(ster!$A$1=1,names!B1014,IF(ster!$A$1=2,names!C1014))</f>
        <v xml:space="preserve">  Downstream</v>
      </c>
      <c r="B1014" s="716" t="s">
        <v>214</v>
      </c>
      <c r="C1014" s="716" t="s">
        <v>214</v>
      </c>
      <c r="D1014" s="716"/>
    </row>
    <row r="1015" spans="1:6">
      <c r="A1015" s="715" t="str">
        <f>IF(ster!$A$1=1,names!B1015,IF(ster!$A$1=2,names!C1015))</f>
        <v xml:space="preserve">  Detal</v>
      </c>
      <c r="B1015" s="716" t="s">
        <v>215</v>
      </c>
      <c r="C1015" s="716" t="s">
        <v>908</v>
      </c>
      <c r="D1015" s="716"/>
    </row>
    <row r="1016" spans="1:6">
      <c r="A1016" s="715" t="str">
        <f>IF(ster!$A$1=1,names!B1016,IF(ster!$A$1=2,names!C1016))</f>
        <v xml:space="preserve">  Wydobycie</v>
      </c>
      <c r="B1016" s="716" t="s">
        <v>216</v>
      </c>
      <c r="C1016" s="716" t="s">
        <v>909</v>
      </c>
      <c r="D1016" s="716"/>
    </row>
    <row r="1017" spans="1:6">
      <c r="A1017" s="715" t="str">
        <f>IF(ster!$A$1=1,names!B1017,IF(ster!$A$1=2,names!C1017))</f>
        <v xml:space="preserve">  Corporate functions 1)</v>
      </c>
      <c r="B1017" s="716" t="s">
        <v>1454</v>
      </c>
      <c r="C1017" s="716" t="s">
        <v>1454</v>
      </c>
      <c r="D1017" s="716"/>
    </row>
    <row r="1018" spans="1:6" ht="32.25">
      <c r="A1018" s="715" t="str">
        <f>IF(ster!$A$1=1,names!B1018,IF(ster!$A$1=2,names!C1018))</f>
        <v>Zysk/(Strata) z działalności operacyjnej wg LIFO powiększona o amortyzację (EBITDA LIFO), w tym:</v>
      </c>
      <c r="B1018" s="716" t="s">
        <v>217</v>
      </c>
      <c r="C1018" s="716" t="s">
        <v>1305</v>
      </c>
      <c r="D1018" s="716"/>
    </row>
    <row r="1019" spans="1:6">
      <c r="A1019" s="715" t="str">
        <f>IF(ster!$A$1=1,names!B1019,IF(ster!$A$1=2,names!C1019))</f>
        <v>ORLEN S.A.</v>
      </c>
      <c r="B1019" s="716" t="s">
        <v>725</v>
      </c>
      <c r="C1019" s="716" t="s">
        <v>725</v>
      </c>
      <c r="D1019" s="716"/>
    </row>
    <row r="1020" spans="1:6">
      <c r="A1020" s="715" t="str">
        <f>IF(ster!$A$1=1,names!B1020,IF(ster!$A$1=2,names!C1020))</f>
        <v>Grupa Unipetrol</v>
      </c>
      <c r="B1020" s="716" t="s">
        <v>218</v>
      </c>
      <c r="C1020" s="716" t="s">
        <v>914</v>
      </c>
      <c r="D1020" s="716"/>
    </row>
    <row r="1021" spans="1:6">
      <c r="A1021" s="715" t="str">
        <f>IF(ster!$A$1=1,names!B1021,IF(ster!$A$1=2,names!C1021))</f>
        <v>Grupa ORLEN Lietuva</v>
      </c>
      <c r="B1021" s="716" t="s">
        <v>219</v>
      </c>
      <c r="C1021" s="716" t="s">
        <v>915</v>
      </c>
      <c r="D1021" s="716"/>
    </row>
    <row r="1022" spans="1:6">
      <c r="A1022" s="715" t="str">
        <f>IF(ster!$A$1=1,names!B1022,IF(ster!$A$1=2,names!C1022))</f>
        <v>Grupa ENERGA</v>
      </c>
      <c r="B1022" s="716" t="s">
        <v>1742</v>
      </c>
      <c r="C1022" s="716" t="s">
        <v>1743</v>
      </c>
      <c r="D1022" s="716"/>
    </row>
    <row r="1023" spans="1:6" ht="15.75">
      <c r="A1023" s="715" t="str">
        <f>IF(ster!$A$1=1,names!B1023,IF(ster!$A$1=2,names!C1023))</f>
        <v>ANWIL</v>
      </c>
      <c r="B1023" s="716" t="s">
        <v>1741</v>
      </c>
      <c r="C1023" s="716" t="s">
        <v>1741</v>
      </c>
      <c r="D1023" s="716"/>
      <c r="E1023" s="716"/>
      <c r="F1023" s="716"/>
    </row>
    <row r="1024" spans="1:6">
      <c r="A1024" s="715" t="str">
        <f>IF(ster!$A$1=1,names!B1024,IF(ster!$A$1=2,names!C1024))</f>
        <v>Pozostałe</v>
      </c>
      <c r="B1024" s="716" t="s">
        <v>47</v>
      </c>
      <c r="C1024" s="716" t="s">
        <v>917</v>
      </c>
      <c r="D1024" s="716"/>
    </row>
    <row r="1025" spans="1:4" ht="32.25">
      <c r="A1025" s="715" t="str">
        <f>IF(ster!$A$1=1,names!B1025,IF(ster!$A$1=2,names!C1025))</f>
        <v>Zysk/(Strata) z działalności operacyjnej powiększona o amortyzację (EBITDA)</v>
      </c>
      <c r="B1025" s="716" t="s">
        <v>220</v>
      </c>
      <c r="C1025" s="716" t="s">
        <v>1306</v>
      </c>
      <c r="D1025" s="716"/>
    </row>
    <row r="1026" spans="1:4">
      <c r="A1026" s="715" t="str">
        <f>IF(ster!$A$1=1,names!B1026,IF(ster!$A$1=2,names!C1026))</f>
        <v>Amortyzacja, w tym:</v>
      </c>
      <c r="B1026" s="716" t="s">
        <v>221</v>
      </c>
      <c r="C1026" s="716" t="s">
        <v>919</v>
      </c>
      <c r="D1026" s="716"/>
    </row>
    <row r="1027" spans="1:4">
      <c r="A1027" s="715" t="str">
        <f>IF(ster!$A$1=1,names!B1027,IF(ster!$A$1=2,names!C1027))</f>
        <v xml:space="preserve">  Downstream</v>
      </c>
      <c r="B1027" s="716" t="s">
        <v>214</v>
      </c>
      <c r="C1027" s="716" t="s">
        <v>214</v>
      </c>
      <c r="D1027" s="716"/>
    </row>
    <row r="1028" spans="1:4">
      <c r="A1028" s="715" t="str">
        <f>IF(ster!$A$1=1,names!B1028,IF(ster!$A$1=2,names!C1028))</f>
        <v xml:space="preserve">  Detal</v>
      </c>
      <c r="B1028" s="716" t="s">
        <v>215</v>
      </c>
      <c r="C1028" s="716" t="s">
        <v>908</v>
      </c>
      <c r="D1028" s="716"/>
    </row>
    <row r="1029" spans="1:4">
      <c r="A1029" s="715" t="str">
        <f>IF(ster!$A$1=1,names!B1029,IF(ster!$A$1=2,names!C1029))</f>
        <v xml:space="preserve">  Wydobycie</v>
      </c>
      <c r="B1029" s="716" t="s">
        <v>216</v>
      </c>
      <c r="C1029" s="716" t="s">
        <v>909</v>
      </c>
      <c r="D1029" s="716"/>
    </row>
    <row r="1030" spans="1:4">
      <c r="A1030" s="715" t="str">
        <f>IF(ster!$A$1=1,names!B1030,IF(ster!$A$1=2,names!C1030))</f>
        <v xml:space="preserve">  Corporate functions 1)</v>
      </c>
      <c r="B1030" s="716" t="s">
        <v>1454</v>
      </c>
      <c r="C1030" s="716" t="s">
        <v>1454</v>
      </c>
      <c r="D1030" s="716"/>
    </row>
    <row r="1031" spans="1:4" ht="32.25">
      <c r="A1031" s="715" t="str">
        <f>IF(ster!$A$1=1,names!B1031,IF(ster!$A$1=2,names!C1031))</f>
        <v>Zysk/(Strata) z działalności operacyjnej wg LIFO (EBIT LIFO), w tym:</v>
      </c>
      <c r="B1031" s="716" t="s">
        <v>222</v>
      </c>
      <c r="C1031" s="716" t="s">
        <v>1307</v>
      </c>
      <c r="D1031" s="716"/>
    </row>
    <row r="1032" spans="1:4">
      <c r="A1032" s="715" t="str">
        <f>IF(ster!$A$1=1,names!B1032,IF(ster!$A$1=2,names!C1032))</f>
        <v xml:space="preserve">  Downstream</v>
      </c>
      <c r="B1032" s="716" t="s">
        <v>214</v>
      </c>
      <c r="C1032" s="716" t="s">
        <v>214</v>
      </c>
      <c r="D1032" s="716"/>
    </row>
    <row r="1033" spans="1:4">
      <c r="A1033" s="715" t="str">
        <f>IF(ster!$A$1=1,names!B1033,IF(ster!$A$1=2,names!C1033))</f>
        <v xml:space="preserve">  Detal</v>
      </c>
      <c r="B1033" s="716" t="s">
        <v>215</v>
      </c>
      <c r="C1033" s="716" t="s">
        <v>908</v>
      </c>
      <c r="D1033" s="716"/>
    </row>
    <row r="1034" spans="1:4">
      <c r="A1034" s="715" t="str">
        <f>IF(ster!$A$1=1,names!B1034,IF(ster!$A$1=2,names!C1034))</f>
        <v xml:space="preserve">  Wydobycie</v>
      </c>
      <c r="B1034" s="716" t="s">
        <v>216</v>
      </c>
      <c r="C1034" s="716" t="s">
        <v>909</v>
      </c>
      <c r="D1034" s="716"/>
    </row>
    <row r="1035" spans="1:4">
      <c r="A1035" s="715" t="str">
        <f>IF(ster!$A$1=1,names!B1035,IF(ster!$A$1=2,names!C1035))</f>
        <v xml:space="preserve">  Corporate functions 1)</v>
      </c>
      <c r="B1035" s="716" t="s">
        <v>1454</v>
      </c>
      <c r="C1035" s="716" t="s">
        <v>1454</v>
      </c>
      <c r="D1035" s="716"/>
    </row>
    <row r="1036" spans="1:4">
      <c r="A1036" s="715" t="str">
        <f>IF(ster!$A$1=1,names!B1036,IF(ster!$A$1=2,names!C1036))</f>
        <v>Zysk/(Strata) z działalności operacyjnej (EBIT)</v>
      </c>
      <c r="B1036" s="716" t="s">
        <v>223</v>
      </c>
      <c r="C1036" s="716" t="s">
        <v>1308</v>
      </c>
      <c r="D1036" s="716"/>
    </row>
    <row r="1037" spans="1:4">
      <c r="A1037" s="715" t="str">
        <f>IF(ster!$A$1=1,names!B1037,IF(ster!$A$1=2,names!C1037))</f>
        <v>Zysk/(Strata) netto</v>
      </c>
      <c r="B1037" s="716" t="s">
        <v>126</v>
      </c>
      <c r="C1037" s="716" t="s">
        <v>922</v>
      </c>
      <c r="D1037" s="716"/>
    </row>
    <row r="1038" spans="1:4">
      <c r="A1038" s="715" t="str">
        <f>IF(ster!$A$1=1,names!B1038,IF(ster!$A$1=2,names!C1038))</f>
        <v>Zysk/(Strata) akcjonariuszy Jednostki Dominującej</v>
      </c>
      <c r="B1038" s="716" t="s">
        <v>224</v>
      </c>
      <c r="C1038" s="716" t="s">
        <v>923</v>
      </c>
      <c r="D1038" s="716"/>
    </row>
    <row r="1039" spans="1:4">
      <c r="A1039" s="715" t="str">
        <f>IF(ster!$A$1=1,names!B1039,IF(ster!$A$1=2,names!C1039))</f>
        <v>Aktywa razem</v>
      </c>
      <c r="B1039" s="716" t="s">
        <v>67</v>
      </c>
      <c r="C1039" s="716" t="s">
        <v>924</v>
      </c>
      <c r="D1039" s="716"/>
    </row>
    <row r="1040" spans="1:4">
      <c r="A1040" s="715" t="str">
        <f>IF(ster!$A$1=1,names!B1040,IF(ster!$A$1=2,names!C1040))</f>
        <v>Kapitał własny</v>
      </c>
      <c r="B1040" s="716" t="s">
        <v>225</v>
      </c>
      <c r="C1040" s="716" t="s">
        <v>925</v>
      </c>
      <c r="D1040" s="716"/>
    </row>
    <row r="1041" spans="1:4">
      <c r="A1041" s="715" t="str">
        <f>IF(ster!$A$1=1,names!B1041,IF(ster!$A$1=2,names!C1041))</f>
        <v>Dług netto</v>
      </c>
      <c r="B1041" s="716" t="s">
        <v>226</v>
      </c>
      <c r="C1041" s="716" t="s">
        <v>926</v>
      </c>
      <c r="D1041" s="716"/>
    </row>
    <row r="1042" spans="1:4">
      <c r="A1042" s="715" t="str">
        <f>IF(ster!$A$1=1,names!B1042,IF(ster!$A$1=2,names!C1042))</f>
        <v>Środki pieniężne netto z działalności operacyjnej</v>
      </c>
      <c r="B1042" s="716" t="s">
        <v>227</v>
      </c>
      <c r="C1042" s="716" t="s">
        <v>927</v>
      </c>
      <c r="D1042" s="716"/>
    </row>
    <row r="1043" spans="1:4">
      <c r="A1043" s="715" t="str">
        <f>IF(ster!$A$1=1,names!B1043,IF(ster!$A$1=2,names!C1043))</f>
        <v>Środki pieniężne netto z działalności inwestycyjnej</v>
      </c>
      <c r="B1043" s="716" t="s">
        <v>228</v>
      </c>
      <c r="C1043" s="716" t="s">
        <v>928</v>
      </c>
      <c r="D1043" s="716"/>
    </row>
    <row r="1044" spans="1:4">
      <c r="A1044" s="715" t="str">
        <f>IF(ster!$A$1=1,names!B1044,IF(ster!$A$1=2,names!C1044))</f>
        <v>Zwiększenie aktywów trwałych ****</v>
      </c>
      <c r="B1044" s="716" t="s">
        <v>386</v>
      </c>
      <c r="C1044" s="716" t="s">
        <v>929</v>
      </c>
      <c r="D1044" s="716"/>
    </row>
    <row r="1045" spans="1:4">
      <c r="A1045" s="715" t="str">
        <f>IF(ster!$A$1=1,names!B1045,IF(ster!$A$1=2,names!C1045))</f>
        <v>Zwrot z zaangażowanego kapitału (ROACE) [%] 2)</v>
      </c>
      <c r="B1045" s="716" t="s">
        <v>1455</v>
      </c>
      <c r="C1045" s="716" t="s">
        <v>1456</v>
      </c>
      <c r="D1045" s="716"/>
    </row>
    <row r="1046" spans="1:4">
      <c r="A1046" s="715" t="str">
        <f>IF(ster!$A$1=1,names!B1046,IF(ster!$A$1=2,names!C1046))</f>
        <v>Zwrot z zaangażowanego kapitału wg LIFO (ROACE LIFO) [%] 3)</v>
      </c>
      <c r="B1046" s="716" t="s">
        <v>1457</v>
      </c>
      <c r="C1046" s="716" t="s">
        <v>1458</v>
      </c>
      <c r="D1046" s="716"/>
    </row>
    <row r="1047" spans="1:4">
      <c r="A1047" s="716" t="str">
        <f>IF(ster!$A$1=1,names!B1047,IF(ster!$A$1=2,names!C1047))</f>
        <v>Dźwignia finansowa netto [%] 4)</v>
      </c>
      <c r="B1047" s="716" t="s">
        <v>1459</v>
      </c>
      <c r="C1047" s="716" t="s">
        <v>1460</v>
      </c>
      <c r="D1047" s="716"/>
    </row>
    <row r="1048" spans="1:4" ht="48">
      <c r="A1048" s="715" t="str">
        <f>IF(ster!$A$1=1,names!B1048,IF(ster!$A$1=2,names!C1048))</f>
        <v>Dług netto/Wynik z działalności operacyjnej wg LIFO powiększony o amortyzację z ostatnich czterech kwartałów  (EBITDA LIFO) 6)</v>
      </c>
      <c r="B1048" s="716" t="s">
        <v>1312</v>
      </c>
      <c r="C1048" s="716" t="s">
        <v>1313</v>
      </c>
      <c r="D1048" s="716"/>
    </row>
    <row r="1049" spans="1:4" ht="32.25">
      <c r="A1049" s="715" t="str">
        <f>IF(ster!$A$1=1,names!B1049,IF(ster!$A$1=2,names!C1049))</f>
        <v>Dług netto/Wynik z działalności operacyjnej powiększony o amortyzację z ostatnich czterech kwartałów  (EBITDA) 7)</v>
      </c>
      <c r="B1049" s="716" t="s">
        <v>1314</v>
      </c>
      <c r="C1049" s="716" t="s">
        <v>1315</v>
      </c>
      <c r="D1049" s="716"/>
    </row>
    <row r="1050" spans="1:4" ht="32.25">
      <c r="A1050" s="715" t="str">
        <f>IF(ster!$A$1=1,names!B1050,IF(ster!$A$1=2,names!C1050))</f>
        <v>Zysk/(Strata) netto akcjonariuszy Jednostki Dominującej na jedną akcję (EPS) [PLN/akcję]</v>
      </c>
      <c r="B1050" s="716" t="s">
        <v>229</v>
      </c>
      <c r="C1050" s="716" t="s">
        <v>930</v>
      </c>
      <c r="D1050" s="716"/>
    </row>
    <row r="1051" spans="1:4">
      <c r="A1051" s="715">
        <f>IF(ster!$A$1=1,names!B1051,IF(ster!$A$1=2,names!C1051))</f>
        <v>0</v>
      </c>
      <c r="B1051" s="716"/>
      <c r="C1051" s="716"/>
      <c r="D1051" s="716"/>
    </row>
    <row r="1052" spans="1:4" ht="32.25">
      <c r="A1052" s="715" t="str">
        <f>IF(ster!$A$1=1,names!B1052,IF(ster!$A$1=2,names!C1052))</f>
        <v>Wpływ wyceny zapasów wg LIFO
 [mln PLN]</v>
      </c>
      <c r="B1052" s="716" t="s">
        <v>230</v>
      </c>
      <c r="C1052" s="716" t="s">
        <v>931</v>
      </c>
      <c r="D1052" s="716"/>
    </row>
    <row r="1053" spans="1:4" ht="32.25">
      <c r="A1053" s="715" t="str">
        <f>IF(ster!$A$1=1,names!B1053,IF(ster!$A$1=2,names!C1053))</f>
        <v>Wpływ wyceny zapasów wg LIFO na poziom EBITDA, w tym:</v>
      </c>
      <c r="B1053" s="716" t="s">
        <v>231</v>
      </c>
      <c r="C1053" s="716" t="s">
        <v>932</v>
      </c>
      <c r="D1053" s="716"/>
    </row>
    <row r="1054" spans="1:4">
      <c r="A1054" s="715" t="str">
        <f>IF(ster!$A$1=1,names!B1054,IF(ster!$A$1=2,names!C1054))</f>
        <v>ORLEN S.A.</v>
      </c>
      <c r="B1054" s="716" t="s">
        <v>725</v>
      </c>
      <c r="C1054" s="716" t="s">
        <v>725</v>
      </c>
      <c r="D1054" s="716"/>
    </row>
    <row r="1055" spans="1:4">
      <c r="A1055" s="715" t="str">
        <f>IF(ster!$A$1=1,names!B1055,IF(ster!$A$1=2,names!C1055))</f>
        <v>Grupa Unipetrol</v>
      </c>
      <c r="B1055" s="716" t="s">
        <v>218</v>
      </c>
      <c r="C1055" s="716" t="s">
        <v>933</v>
      </c>
      <c r="D1055" s="716"/>
    </row>
    <row r="1056" spans="1:4">
      <c r="A1056" s="715" t="str">
        <f>IF(ster!$A$1=1,names!B1056,IF(ster!$A$1=2,names!C1056))</f>
        <v>Grupa ORLEN Lietuva</v>
      </c>
      <c r="B1056" s="716" t="s">
        <v>219</v>
      </c>
      <c r="C1056" s="716" t="s">
        <v>934</v>
      </c>
      <c r="D1056" s="716"/>
    </row>
    <row r="1057" spans="1:5">
      <c r="A1057" s="715" t="str">
        <f>IF(ster!$A$1=1,names!B1057,IF(ster!$A$1=2,names!C1057))</f>
        <v>Pozostałe</v>
      </c>
      <c r="B1057" s="716" t="s">
        <v>47</v>
      </c>
      <c r="C1057" s="716" t="s">
        <v>935</v>
      </c>
      <c r="D1057" s="716"/>
    </row>
    <row r="1058" spans="1:5">
      <c r="A1058" s="715">
        <f>IF(ster!$A$1=1,names!B1058,IF(ster!$A$1=2,names!C1058))</f>
        <v>0</v>
      </c>
      <c r="B1058" s="716"/>
      <c r="C1058" s="716"/>
      <c r="D1058" s="716"/>
    </row>
    <row r="1059" spans="1:5" ht="56.65" customHeight="1">
      <c r="A1059" s="715" t="str">
        <f>IF(ster!$A$1=1,names!B1059,IF(ster!$A$1=2,names!C1059))</f>
        <v>*) Dane przekształcone – zmiana metody konsolidacji spółek Basell ORLEN Polyolefines Sp. z o.o. i Płocki Park Przemysłowo Technologiczny S.A. z metody proporcjonalnej na metodę praw własności zgodnie z MSSF 11.</v>
      </c>
      <c r="B1059" s="716" t="s">
        <v>1310</v>
      </c>
      <c r="C1059" s="715" t="s">
        <v>1309</v>
      </c>
    </row>
    <row r="1060" spans="1:5" ht="409.6">
      <c r="A1060" s="716" t="str">
        <f>IF(ster!$A$1=1,names!B1060,IF(ster!$A$1=2,names!C1060))</f>
        <v>**) Odpisy aktualizujące wartość aktywów trwałych ujęte w:                                                                                                                                                                                                                                                                                                                                                                                                                                                                                                                                                                                                                                                                                  -  II kwartale 2014 roku w wysokości (5,0) mld PLN dotyczyły głównie rafinerii ORLEN Lietuva w kwocie (4,2) mld PLN, części rafineryjnej GrupyUnipetrol w kwocie (0,7) mld PLN oraz Spolana z Grupy Anwil i Grupy Rafinerii Jedlicze w łącznej wysokości (0,1) mld PLN,                                                                                                                                                                                                                                                                                                                                                                                                              - IV kwartale 2014 roku w wysokości (0,3) mld PLN dotyczące działalności Grupy ORLEN Upstream w Kanadzie,
- II kwartale 2015 roku w wysokości (0,4) mld PLN dotyczące głównie aktywów Grupy ORLEN Upstream,
- III kwartale 2015 roku w wysokości (0,1) mld PLN dotyczące głównie części petrochemicznej Grupy Unipetrol,
- IV kwartale 2015 roku w wysokości (0,4) mld PLN dotyczące aktywów poszukiwawczych Grupy ORLEN Upstream w Kanadzie,
- IV kwartale 2016 roku w wysokości 0,2 mld PLN dotyczące głównie części rafineryjnej Grupy Unipetrol w kwocie 0,3 mld PLN, działalności poszukiwawczej Grupy ORLEN Upstream w Polsce i Grupy ORLEN Oil w łącznej wysokości (0,1) mld PLN,
- IV kwartale 2017 roku w wysokości (0,1) mld PLN dotyczące głównie działalności poszukiwawczej Grupy ORLEN Upstream w Polsce,
- IV kwartale 2018 roku w wysokości 0,7 mld PLN dotyczące głównie aktywów segmentu downstream w Grupie Unipetrol,
- III kwartale 2019 roku w wysokości (0,1) mld PLN dotyczące głównie działalności poszukiwawczej Grupy ORLEN Upstream w Polsce.
- IV kwartale 2019 roku w wysokości (0,1) mld PLN dotyczące głównie działalności poszukiwawczej Grupy ORLEN Upstream w Polsce.
- I kwartale 2020 roku w wysokości (0,5) mld PLN dotyczące głównie aktywów Grupy ORLEN Upstream.</v>
      </c>
      <c r="B1060" s="716" t="s">
        <v>1311</v>
      </c>
      <c r="C1060" s="716" t="s">
        <v>1318</v>
      </c>
      <c r="D1060" s="716"/>
    </row>
    <row r="1061" spans="1:5" ht="76.5" customHeight="1">
      <c r="A1061" s="715" t="str">
        <f>IF(ster!$A$1=1,names!B1061,IF(ster!$A$1=2,names!C1061))</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B1061" s="716" t="s">
        <v>359</v>
      </c>
      <c r="C1061" s="715" t="s">
        <v>1316</v>
      </c>
    </row>
    <row r="1062" spans="1:5" ht="48">
      <c r="A1062" s="715" t="str">
        <f>IF(ster!$A$1=1,names!B1062,IF(ster!$A$1=2,names!C1062))</f>
        <v>****) Zgodnie z MSSF 16 Leasing w pozycji zwiększenie aktywów trwałych ujęto wartość praw do użytkowania w celu zachowania spójności zaktualizowano również dane za I kwartał 2019.</v>
      </c>
      <c r="B1062" s="716" t="s">
        <v>1317</v>
      </c>
      <c r="C1062" s="715" t="s">
        <v>939</v>
      </c>
    </row>
    <row r="1063" spans="1:5" ht="32.25">
      <c r="A1063" s="715" t="str">
        <f>IF(ster!$A$1=1,names!B1063,IF(ster!$A$1=2,names!C1063))</f>
        <v>1) Zawiera Funkcje Korporacyjne spółek Grupy ORLEN oraz spółki nieujęte w powyższych segmentach.</v>
      </c>
      <c r="B1063" s="716" t="s">
        <v>233</v>
      </c>
      <c r="C1063" s="715" t="s">
        <v>940</v>
      </c>
    </row>
    <row r="1064" spans="1:5" ht="63.75">
      <c r="A1064" s="715" t="str">
        <f>IF(ster!$A$1=1,names!B1064,IF(ster!$A$1=2,names!C1064))</f>
        <v>2) ROACE = zysk operacyjny z ostatnich czterech kwartałów po opodatkowaniu przed odpisem aktualizującym wartość aktywów trwałych / średni kapitał zaangażowany (kapitał własny + dług netto) z ostatnich czterech kwartałów.</v>
      </c>
      <c r="B1064" s="716" t="s">
        <v>234</v>
      </c>
      <c r="C1064" s="715" t="s">
        <v>941</v>
      </c>
    </row>
    <row r="1065" spans="1:5" ht="63.75">
      <c r="A1065" s="715" t="str">
        <f>IF(ster!$A$1=1,names!B1065,IF(ster!$A$1=2,names!C1065))</f>
        <v>3) ROACE LIFO = zysk operacyjny z ostatnich czterech kwartałów wg LIFO po opodatkowaniu przed odpisem aktualizującym wartość aktywów trwałych / średni kapitał zaangażowany (kapitał własny + dług netto) z ostatnich czterech kwartałów.</v>
      </c>
      <c r="B1065" s="716" t="s">
        <v>235</v>
      </c>
      <c r="C1065" s="715" t="s">
        <v>942</v>
      </c>
    </row>
    <row r="1066" spans="1:5" ht="32.25">
      <c r="A1066" s="715" t="str">
        <f>IF(ster!$A$1=1,names!B1066,IF(ster!$A$1=2,names!C1066))</f>
        <v>4) Dźwignia finansowa netto = dług netto / kapitał własny - wyliczone wg stanu na koniec okresu.</v>
      </c>
      <c r="B1066" s="716" t="s">
        <v>236</v>
      </c>
      <c r="C1066" s="715" t="s">
        <v>943</v>
      </c>
    </row>
    <row r="1067" spans="1:5" ht="32.25">
      <c r="A1067" s="715" t="str">
        <f>IF(ster!$A$1=1,names!B1067,IF(ster!$A$1=2,names!C1067))</f>
        <v>5) Kowenant badany zgodnie z zapisami umów kredytowych bez uwzględnienia odpisów aktualizujących aktywów trwałych.</v>
      </c>
      <c r="B1067" s="716" t="s">
        <v>237</v>
      </c>
      <c r="C1067" s="715" t="s">
        <v>944</v>
      </c>
    </row>
    <row r="1068" spans="1:5" ht="48">
      <c r="A1068" s="715" t="str">
        <f>IF(ster!$A$1=1,names!B1068,IF(ster!$A$1=2,names!C1068))</f>
        <v>6) Dług (odsetkowy) pomniejszony o środki pieniężne i ich ekwiwalenty na koniec okresu / EBITDA wg LIFO z ostatnich czterech kwartałów.</v>
      </c>
      <c r="B1068" s="716" t="s">
        <v>238</v>
      </c>
      <c r="C1068" s="715" t="s">
        <v>945</v>
      </c>
    </row>
    <row r="1069" spans="1:5" ht="48">
      <c r="A1069" s="715" t="str">
        <f>IF(ster!$A$1=1,names!B1069,IF(ster!$A$1=2,names!C1069))</f>
        <v>7) Dług (odsetkowy) pomniejszony o środki pieniężne i ich ekwiwalenty na koniec okresu / EBITDA z ostatnich czterech kwartałów.</v>
      </c>
      <c r="B1069" s="716" t="s">
        <v>239</v>
      </c>
      <c r="C1069" s="715" t="s">
        <v>946</v>
      </c>
    </row>
    <row r="1070" spans="1:5">
      <c r="A1070" s="715">
        <f>IF(ster!$A$1=1,names!B1070,IF(ster!$A$1=2,names!C1070))</f>
        <v>0</v>
      </c>
      <c r="B1070" s="716"/>
      <c r="C1070" s="716"/>
      <c r="D1070" s="716"/>
    </row>
    <row r="1071" spans="1:5">
      <c r="A1071" s="715" t="str">
        <f>IF(ster!$A$1=1,names!B1071,IF(ster!$A$1=2,names!C1071))</f>
        <v>EBITDA LIFO</v>
      </c>
      <c r="B1071" s="717" t="s">
        <v>211</v>
      </c>
      <c r="C1071" s="716" t="s">
        <v>211</v>
      </c>
      <c r="D1071" s="716"/>
      <c r="E1071" s="709" t="s">
        <v>1321</v>
      </c>
    </row>
    <row r="1072" spans="1:5">
      <c r="A1072" s="715">
        <f>IF(ster!$A$1=1,names!B1072,IF(ster!$A$1=2,names!C1072))</f>
        <v>0</v>
      </c>
      <c r="B1072" s="716"/>
      <c r="C1072" s="716"/>
      <c r="D1072" s="716"/>
    </row>
    <row r="1073" spans="1:4" ht="32.25">
      <c r="A1073" s="715" t="str">
        <f>IF(ster!$A$1=1,names!B1073,IF(ster!$A$1=2,names!C1073))</f>
        <v>Wyszczególnienie, 
mln PLN</v>
      </c>
      <c r="B1073" s="716" t="s">
        <v>161</v>
      </c>
      <c r="C1073" s="716" t="s">
        <v>948</v>
      </c>
      <c r="D1073" s="716"/>
    </row>
    <row r="1074" spans="1:4">
      <c r="A1074" s="715" t="str">
        <f>IF(ster!$A$1=1,names!B1074,IF(ster!$A$1=2,names!C1074))</f>
        <v>Rafineria</v>
      </c>
      <c r="B1074" s="716" t="s">
        <v>50</v>
      </c>
      <c r="C1074" s="716" t="s">
        <v>794</v>
      </c>
      <c r="D1074" s="716"/>
    </row>
    <row r="1075" spans="1:4">
      <c r="A1075" s="715" t="str">
        <f>IF(ster!$A$1=1,names!B1075,IF(ster!$A$1=2,names!C1075))</f>
        <v>efekt LIFO (Rafineria)</v>
      </c>
      <c r="B1075" s="716" t="s">
        <v>205</v>
      </c>
      <c r="C1075" s="716" t="s">
        <v>949</v>
      </c>
      <c r="D1075" s="716"/>
    </row>
    <row r="1076" spans="1:4">
      <c r="A1076" s="715" t="str">
        <f>IF(ster!$A$1=1,names!B1076,IF(ster!$A$1=2,names!C1076))</f>
        <v xml:space="preserve">Petrochemia </v>
      </c>
      <c r="B1076" s="716" t="s">
        <v>206</v>
      </c>
      <c r="C1076" s="716" t="s">
        <v>795</v>
      </c>
      <c r="D1076" s="716"/>
    </row>
    <row r="1077" spans="1:4">
      <c r="A1077" s="715" t="str">
        <f>IF(ster!$A$1=1,names!B1077,IF(ster!$A$1=2,names!C1077))</f>
        <v>efekt LIFO (Petrochemia)</v>
      </c>
      <c r="B1077" s="716" t="s">
        <v>207</v>
      </c>
      <c r="C1077" s="716" t="s">
        <v>950</v>
      </c>
      <c r="D1077" s="716"/>
    </row>
    <row r="1078" spans="1:4">
      <c r="A1078" s="715" t="str">
        <f>IF(ster!$A$1=1,names!B1078,IF(ster!$A$1=2,names!C1078))</f>
        <v xml:space="preserve">Downstream </v>
      </c>
      <c r="B1078" s="716" t="s">
        <v>208</v>
      </c>
      <c r="C1078" s="716" t="s">
        <v>208</v>
      </c>
      <c r="D1078" s="716"/>
    </row>
    <row r="1079" spans="1:4">
      <c r="A1079" s="715" t="str">
        <f>IF(ster!$A$1=1,names!B1079,IF(ster!$A$1=2,names!C1079))</f>
        <v xml:space="preserve">Detal </v>
      </c>
      <c r="B1079" s="716" t="s">
        <v>209</v>
      </c>
      <c r="C1079" s="716" t="s">
        <v>797</v>
      </c>
      <c r="D1079" s="716"/>
    </row>
    <row r="1080" spans="1:4">
      <c r="A1080" s="715" t="str">
        <f>IF(ster!$A$1=1,names!B1080,IF(ster!$A$1=2,names!C1080))</f>
        <v xml:space="preserve">Wydobycie </v>
      </c>
      <c r="B1080" s="716" t="s">
        <v>210</v>
      </c>
      <c r="C1080" s="716" t="s">
        <v>798</v>
      </c>
      <c r="D1080" s="716"/>
    </row>
    <row r="1081" spans="1:4">
      <c r="A1081" s="715" t="str">
        <f>IF(ster!$A$1=1,names!B1081,IF(ster!$A$1=2,names!C1081))</f>
        <v>Corporate functions</v>
      </c>
      <c r="B1081" s="716" t="s">
        <v>800</v>
      </c>
      <c r="C1081" s="716" t="s">
        <v>800</v>
      </c>
      <c r="D1081" s="716"/>
    </row>
    <row r="1082" spans="1:4">
      <c r="A1082" s="715" t="str">
        <f>IF(ster!$A$1=1,names!B1082,IF(ster!$A$1=2,names!C1082))</f>
        <v>EBITDA LIFO</v>
      </c>
      <c r="B1082" s="716" t="s">
        <v>211</v>
      </c>
      <c r="C1082" s="716" t="s">
        <v>211</v>
      </c>
      <c r="D1082" s="716"/>
    </row>
    <row r="1083" spans="1:4">
      <c r="A1083" s="715">
        <f>IF(ster!$A$1=1,names!B1083,IF(ster!$A$1=2,names!C1083))</f>
        <v>0</v>
      </c>
      <c r="B1083" s="716"/>
      <c r="C1083" s="716" t="s">
        <v>1319</v>
      </c>
      <c r="D1083" s="716"/>
    </row>
    <row r="1084" spans="1:4">
      <c r="A1084" s="715">
        <f>IF(ster!$A$1=1,names!B1084,IF(ster!$A$1=2,names!C1084))</f>
        <v>0</v>
      </c>
      <c r="B1084" s="716"/>
      <c r="C1084" s="716"/>
      <c r="D1084" s="716"/>
    </row>
    <row r="1085" spans="1:4">
      <c r="A1085" s="715">
        <f>IF(ster!$A$1=1,names!B1085,IF(ster!$A$1=2,names!C1085))</f>
        <v>0</v>
      </c>
      <c r="B1085" s="716"/>
      <c r="C1085" s="716"/>
      <c r="D1085" s="716"/>
    </row>
    <row r="1086" spans="1:4">
      <c r="A1086" s="715" t="str">
        <f>IF(ster!$A$1=1,names!B1086,IF(ster!$A$1=2,names!C1086))</f>
        <v>Amortyzacja</v>
      </c>
      <c r="B1086" s="716" t="s">
        <v>91</v>
      </c>
      <c r="C1086" s="716" t="s">
        <v>952</v>
      </c>
      <c r="D1086" s="716"/>
    </row>
    <row r="1087" spans="1:4">
      <c r="A1087" s="715">
        <f>IF(ster!$A$1=1,names!B1087,IF(ster!$A$1=2,names!C1087))</f>
        <v>0</v>
      </c>
      <c r="B1087" s="716"/>
      <c r="C1087" s="716"/>
      <c r="D1087" s="716"/>
    </row>
    <row r="1088" spans="1:4" ht="32.25">
      <c r="A1088" s="715" t="str">
        <f>IF(ster!$A$1=1,names!B1088,IF(ster!$A$1=2,names!C1088))</f>
        <v>Wyszczególnienie, 
mln PLN</v>
      </c>
      <c r="B1088" s="716" t="s">
        <v>161</v>
      </c>
      <c r="C1088" s="716" t="s">
        <v>948</v>
      </c>
      <c r="D1088" s="716"/>
    </row>
    <row r="1089" spans="1:4">
      <c r="A1089" s="715" t="str">
        <f>IF(ster!$A$1=1,names!B1089,IF(ster!$A$1=2,names!C1089))</f>
        <v>Rafineria</v>
      </c>
      <c r="B1089" s="716" t="s">
        <v>50</v>
      </c>
      <c r="C1089" s="716" t="s">
        <v>794</v>
      </c>
      <c r="D1089" s="716"/>
    </row>
    <row r="1090" spans="1:4">
      <c r="A1090" s="715" t="str">
        <f>IF(ster!$A$1=1,names!B1090,IF(ster!$A$1=2,names!C1090))</f>
        <v xml:space="preserve">Petrochemia </v>
      </c>
      <c r="B1090" s="716" t="s">
        <v>206</v>
      </c>
      <c r="C1090" s="716" t="s">
        <v>795</v>
      </c>
      <c r="D1090" s="716"/>
    </row>
    <row r="1091" spans="1:4">
      <c r="A1091" s="715" t="str">
        <f>IF(ster!$A$1=1,names!B1091,IF(ster!$A$1=2,names!C1091))</f>
        <v xml:space="preserve">Downstream </v>
      </c>
      <c r="B1091" s="716" t="s">
        <v>208</v>
      </c>
      <c r="C1091" s="716" t="s">
        <v>208</v>
      </c>
      <c r="D1091" s="716"/>
    </row>
    <row r="1092" spans="1:4">
      <c r="A1092" s="715" t="str">
        <f>IF(ster!$A$1=1,names!B1092,IF(ster!$A$1=2,names!C1092))</f>
        <v xml:space="preserve">Detal </v>
      </c>
      <c r="B1092" s="716" t="s">
        <v>209</v>
      </c>
      <c r="C1092" s="716" t="s">
        <v>797</v>
      </c>
      <c r="D1092" s="716"/>
    </row>
    <row r="1093" spans="1:4">
      <c r="A1093" s="715" t="str">
        <f>IF(ster!$A$1=1,names!B1093,IF(ster!$A$1=2,names!C1093))</f>
        <v xml:space="preserve">Wydobycie </v>
      </c>
      <c r="B1093" s="716" t="s">
        <v>210</v>
      </c>
      <c r="C1093" s="716" t="s">
        <v>798</v>
      </c>
      <c r="D1093" s="716"/>
    </row>
    <row r="1094" spans="1:4">
      <c r="A1094" s="715" t="str">
        <f>IF(ster!$A$1=1,names!B1094,IF(ster!$A$1=2,names!C1094))</f>
        <v>Corporate functions</v>
      </c>
      <c r="B1094" s="716" t="s">
        <v>800</v>
      </c>
      <c r="C1094" s="716" t="s">
        <v>800</v>
      </c>
      <c r="D1094" s="716"/>
    </row>
    <row r="1095" spans="1:4">
      <c r="A1095" s="715" t="str">
        <f>IF(ster!$A$1=1,names!B1095,IF(ster!$A$1=2,names!C1095))</f>
        <v>Amortyzacja</v>
      </c>
      <c r="B1095" s="716" t="s">
        <v>91</v>
      </c>
      <c r="C1095" s="716" t="s">
        <v>952</v>
      </c>
      <c r="D1095" s="716"/>
    </row>
    <row r="1096" spans="1:4">
      <c r="A1096" s="715">
        <f>IF(ster!$A$1=1,names!B1096,IF(ster!$A$1=2,names!C1096))</f>
        <v>0</v>
      </c>
      <c r="B1096" s="716"/>
      <c r="C1096" s="716"/>
      <c r="D1096" s="716"/>
    </row>
    <row r="1097" spans="1:4">
      <c r="A1097" s="715">
        <f>IF(ster!$A$1=1,names!B1097,IF(ster!$A$1=2,names!C1097))</f>
        <v>0</v>
      </c>
      <c r="B1097" s="716"/>
      <c r="C1097" s="716"/>
      <c r="D1097" s="716"/>
    </row>
    <row r="1098" spans="1:4">
      <c r="A1098" s="715" t="str">
        <f>IF(ster!$A$1=1,names!B1098,IF(ster!$A$1=2,names!C1098))</f>
        <v>EBIT LIFO</v>
      </c>
      <c r="B1098" s="716" t="s">
        <v>272</v>
      </c>
      <c r="C1098" s="716" t="s">
        <v>272</v>
      </c>
      <c r="D1098" s="716"/>
    </row>
    <row r="1099" spans="1:4">
      <c r="A1099" s="715">
        <f>IF(ster!$A$1=1,names!B1099,IF(ster!$A$1=2,names!C1099))</f>
        <v>0</v>
      </c>
      <c r="B1099" s="716"/>
      <c r="C1099" s="716"/>
      <c r="D1099" s="716"/>
    </row>
    <row r="1100" spans="1:4" ht="32.25">
      <c r="A1100" s="715" t="str">
        <f>IF(ster!$A$1=1,names!B1100,IF(ster!$A$1=2,names!C1100))</f>
        <v>Wyszczególnienie, 
mln PLN</v>
      </c>
      <c r="B1100" s="716" t="s">
        <v>161</v>
      </c>
      <c r="C1100" s="716" t="s">
        <v>948</v>
      </c>
      <c r="D1100" s="716"/>
    </row>
    <row r="1101" spans="1:4">
      <c r="A1101" s="715" t="str">
        <f>IF(ster!$A$1=1,names!B1101,IF(ster!$A$1=2,names!C1101))</f>
        <v>Rafineria</v>
      </c>
      <c r="B1101" s="716" t="s">
        <v>50</v>
      </c>
      <c r="C1101" s="716" t="s">
        <v>794</v>
      </c>
      <c r="D1101" s="716"/>
    </row>
    <row r="1102" spans="1:4">
      <c r="A1102" s="715" t="str">
        <f>IF(ster!$A$1=1,names!B1102,IF(ster!$A$1=2,names!C1102))</f>
        <v>efekt LIFO (Rafineria)</v>
      </c>
      <c r="B1102" s="716" t="s">
        <v>205</v>
      </c>
      <c r="C1102" s="716" t="s">
        <v>949</v>
      </c>
      <c r="D1102" s="716"/>
    </row>
    <row r="1103" spans="1:4">
      <c r="A1103" s="715" t="str">
        <f>IF(ster!$A$1=1,names!B1103,IF(ster!$A$1=2,names!C1103))</f>
        <v xml:space="preserve">Petrochemia </v>
      </c>
      <c r="B1103" s="716" t="s">
        <v>206</v>
      </c>
      <c r="C1103" s="716" t="s">
        <v>795</v>
      </c>
      <c r="D1103" s="716"/>
    </row>
    <row r="1104" spans="1:4">
      <c r="A1104" s="715" t="str">
        <f>IF(ster!$A$1=1,names!B1104,IF(ster!$A$1=2,names!C1104))</f>
        <v>efekt LIFO (Petrochemia)</v>
      </c>
      <c r="B1104" s="716" t="s">
        <v>207</v>
      </c>
      <c r="C1104" s="716" t="s">
        <v>950</v>
      </c>
      <c r="D1104" s="716"/>
    </row>
    <row r="1105" spans="1:4">
      <c r="A1105" s="715" t="str">
        <f>IF(ster!$A$1=1,names!B1105,IF(ster!$A$1=2,names!C1105))</f>
        <v xml:space="preserve">Downstream </v>
      </c>
      <c r="B1105" s="716" t="s">
        <v>208</v>
      </c>
      <c r="C1105" s="716" t="s">
        <v>208</v>
      </c>
      <c r="D1105" s="716"/>
    </row>
    <row r="1106" spans="1:4">
      <c r="A1106" s="715" t="str">
        <f>IF(ster!$A$1=1,names!B1106,IF(ster!$A$1=2,names!C1106))</f>
        <v xml:space="preserve">Detal </v>
      </c>
      <c r="B1106" s="716" t="s">
        <v>209</v>
      </c>
      <c r="C1106" s="716" t="s">
        <v>797</v>
      </c>
      <c r="D1106" s="716"/>
    </row>
    <row r="1107" spans="1:4">
      <c r="A1107" s="715" t="str">
        <f>IF(ster!$A$1=1,names!B1107,IF(ster!$A$1=2,names!C1107))</f>
        <v xml:space="preserve">Wydobycie </v>
      </c>
      <c r="B1107" s="716" t="s">
        <v>210</v>
      </c>
      <c r="C1107" s="716" t="s">
        <v>798</v>
      </c>
      <c r="D1107" s="716"/>
    </row>
    <row r="1108" spans="1:4">
      <c r="A1108" s="715" t="str">
        <f>IF(ster!$A$1=1,names!B1108,IF(ster!$A$1=2,names!C1108))</f>
        <v>Corporate functions</v>
      </c>
      <c r="B1108" s="716" t="s">
        <v>800</v>
      </c>
      <c r="C1108" s="716" t="s">
        <v>800</v>
      </c>
      <c r="D1108" s="716"/>
    </row>
    <row r="1109" spans="1:4">
      <c r="A1109" s="715" t="str">
        <f>IF(ster!$A$1=1,names!B1109,IF(ster!$A$1=2,names!C1109))</f>
        <v>EBIT LIFO</v>
      </c>
      <c r="B1109" s="716" t="s">
        <v>272</v>
      </c>
      <c r="C1109" s="716" t="s">
        <v>211</v>
      </c>
      <c r="D1109" s="716"/>
    </row>
    <row r="1110" spans="1:4">
      <c r="A1110" s="715" t="str">
        <f>IF(ster!$A$1=1,names!B1110,IF(ster!$A$1=2,names!C1110))</f>
        <v>1) odpis z tytułu utraty wartości aktywów zgodnie z MSR 36</v>
      </c>
      <c r="B1110" s="716" t="s">
        <v>212</v>
      </c>
      <c r="C1110" s="716" t="s">
        <v>1319</v>
      </c>
      <c r="D1110" s="716"/>
    </row>
    <row r="1111" spans="1:4" ht="79.5">
      <c r="A1111" s="715" t="str">
        <f>IF(ster!$A$1=1,names!B1111,IF(ster!$A$1=2,names!C1111))</f>
        <v>2)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B1111" s="716" t="s">
        <v>358</v>
      </c>
      <c r="C1111" s="716" t="s">
        <v>1320</v>
      </c>
      <c r="D1111" s="716"/>
    </row>
    <row r="1112" spans="1:4">
      <c r="A1112" s="715">
        <f>IF(ster!$A$1=1,names!B1112,IF(ster!$A$1=2,names!C1112))</f>
        <v>0</v>
      </c>
      <c r="B1112" s="716"/>
      <c r="C1112" s="716"/>
      <c r="D1112" s="716"/>
    </row>
    <row r="1113" spans="1:4">
      <c r="A1113" s="715" t="str">
        <f>IF(ster!$A$1=1,names!B1113,IF(ster!$A$1=2,names!C1113))</f>
        <v>LIFO</v>
      </c>
      <c r="B1113" s="716" t="s">
        <v>25</v>
      </c>
      <c r="C1113" s="716" t="s">
        <v>25</v>
      </c>
      <c r="D1113" s="716"/>
    </row>
    <row r="1114" spans="1:4">
      <c r="A1114" s="715">
        <f>IF(ster!$A$1=1,names!B1114,IF(ster!$A$1=2,names!C1114))</f>
        <v>0</v>
      </c>
      <c r="B1114" s="716"/>
      <c r="C1114" s="716"/>
      <c r="D1114" s="716"/>
    </row>
    <row r="1115" spans="1:4">
      <c r="A1115" s="715" t="str">
        <f>IF(ster!$A$1=1,names!B1115,IF(ster!$A$1=2,names!C1115))</f>
        <v>Odpisy</v>
      </c>
      <c r="B1115" s="716" t="s">
        <v>270</v>
      </c>
      <c r="C1115" s="716" t="s">
        <v>954</v>
      </c>
      <c r="D1115" s="716"/>
    </row>
    <row r="1116" spans="1:4">
      <c r="A1116" s="715" t="str">
        <f>IF(ster!$A$1=1,names!B1116,IF(ster!$A$1=2,names!C1116))</f>
        <v>Rafineria</v>
      </c>
      <c r="B1116" s="716" t="s">
        <v>50</v>
      </c>
      <c r="C1116" s="716" t="s">
        <v>794</v>
      </c>
      <c r="D1116" s="716"/>
    </row>
    <row r="1117" spans="1:4">
      <c r="A1117" s="715" t="str">
        <f>IF(ster!$A$1=1,names!B1117,IF(ster!$A$1=2,names!C1117))</f>
        <v>Petrochemia</v>
      </c>
      <c r="B1117" s="716" t="s">
        <v>52</v>
      </c>
      <c r="C1117" s="716" t="s">
        <v>795</v>
      </c>
      <c r="D1117" s="716"/>
    </row>
    <row r="1118" spans="1:4">
      <c r="A1118" s="715" t="str">
        <f>IF(ster!$A$1=1,names!B1118,IF(ster!$A$1=2,names!C1118))</f>
        <v>Detal</v>
      </c>
      <c r="B1118" s="716" t="s">
        <v>53</v>
      </c>
      <c r="C1118" s="716" t="s">
        <v>797</v>
      </c>
      <c r="D1118" s="716"/>
    </row>
    <row r="1119" spans="1:4">
      <c r="A1119" s="715" t="str">
        <f>IF(ster!$A$1=1,names!B1119,IF(ster!$A$1=2,names!C1119))</f>
        <v>Wydobycie</v>
      </c>
      <c r="B1119" s="716" t="s">
        <v>271</v>
      </c>
      <c r="C1119" s="716" t="s">
        <v>798</v>
      </c>
      <c r="D1119" s="716"/>
    </row>
    <row r="1120" spans="1:4">
      <c r="A1120" s="715" t="str">
        <f>IF(ster!$A$1=1,names!B1120,IF(ster!$A$1=2,names!C1120))</f>
        <v>CK</v>
      </c>
      <c r="B1120" s="716" t="s">
        <v>54</v>
      </c>
      <c r="C1120" s="716" t="s">
        <v>800</v>
      </c>
      <c r="D1120" s="716"/>
    </row>
    <row r="1121" spans="1:4">
      <c r="A1121" s="715" t="str">
        <f>IF(ster!$A$1=1,names!B1121,IF(ster!$A$1=2,names!C1121))</f>
        <v>RAZEM</v>
      </c>
      <c r="B1121" s="716" t="s">
        <v>56</v>
      </c>
      <c r="C1121" s="716" t="s">
        <v>55</v>
      </c>
      <c r="D1121" s="716"/>
    </row>
    <row r="1122" spans="1:4" ht="32.25">
      <c r="A1122" s="715" t="str">
        <f>IF(ster!$A$1=1,names!B1122,IF(ster!$A$1=2,names!C1122))</f>
        <v>I kw.
2013</v>
      </c>
      <c r="B1122" s="716" t="s">
        <v>181</v>
      </c>
      <c r="C1122" s="716" t="s">
        <v>1338</v>
      </c>
      <c r="D1122" s="716"/>
    </row>
    <row r="1123" spans="1:4" ht="32.25">
      <c r="A1123" s="715" t="str">
        <f>IF(ster!$A$1=1,names!B1123,IF(ster!$A$1=2,names!C1123))</f>
        <v>II kw.
2013</v>
      </c>
      <c r="B1123" s="716" t="s">
        <v>182</v>
      </c>
      <c r="C1123" s="716" t="s">
        <v>1339</v>
      </c>
      <c r="D1123" s="716"/>
    </row>
    <row r="1124" spans="1:4" ht="32.25">
      <c r="A1124" s="715" t="str">
        <f>IF(ster!$A$1=1,names!B1124,IF(ster!$A$1=2,names!C1124))</f>
        <v>III kw.
2013</v>
      </c>
      <c r="B1124" s="716" t="s">
        <v>183</v>
      </c>
      <c r="C1124" s="716" t="s">
        <v>1340</v>
      </c>
      <c r="D1124" s="716"/>
    </row>
    <row r="1125" spans="1:4" ht="32.25">
      <c r="A1125" s="715" t="str">
        <f>IF(ster!$A$1=1,names!B1125,IF(ster!$A$1=2,names!C1125))</f>
        <v>IV kw.
2013</v>
      </c>
      <c r="B1125" s="716" t="s">
        <v>160</v>
      </c>
      <c r="C1125" s="716" t="s">
        <v>1341</v>
      </c>
      <c r="D1125" s="716"/>
    </row>
    <row r="1126" spans="1:4" ht="32.25">
      <c r="A1126" s="715" t="str">
        <f>IF(ster!$A$1=1,names!B1126,IF(ster!$A$1=2,names!C1126))</f>
        <v>12 m-cy
2013</v>
      </c>
      <c r="B1126" s="716" t="s">
        <v>184</v>
      </c>
      <c r="C1126" s="716" t="s">
        <v>875</v>
      </c>
      <c r="D1126" s="716"/>
    </row>
    <row r="1127" spans="1:4" ht="32.25">
      <c r="A1127" s="715" t="str">
        <f>IF(ster!$A$1=1,names!B1127,IF(ster!$A$1=2,names!C1127))</f>
        <v>I kw.
2014</v>
      </c>
      <c r="B1127" s="716" t="s">
        <v>162</v>
      </c>
      <c r="C1127" s="716" t="s">
        <v>1035</v>
      </c>
      <c r="D1127" s="716"/>
    </row>
    <row r="1128" spans="1:4" ht="48">
      <c r="A1128" s="715" t="str">
        <f>IF(ster!$A$1=1,names!B1128,IF(ster!$A$1=2,names!C1128))</f>
        <v>I kw.
2014
przed odpisem 1)</v>
      </c>
      <c r="B1128" s="716" t="s">
        <v>1579</v>
      </c>
      <c r="C1128" s="716" t="s">
        <v>1580</v>
      </c>
      <c r="D1128" s="716"/>
    </row>
    <row r="1129" spans="1:4" ht="32.25">
      <c r="A1129" s="715" t="str">
        <f>IF(ster!$A$1=1,names!B1129,IF(ster!$A$1=2,names!C1129))</f>
        <v>II kw.
2014</v>
      </c>
      <c r="B1129" s="716" t="s">
        <v>164</v>
      </c>
      <c r="C1129" s="716" t="s">
        <v>1036</v>
      </c>
      <c r="D1129" s="716"/>
    </row>
    <row r="1130" spans="1:4" ht="48">
      <c r="A1130" s="715" t="str">
        <f>IF(ster!$A$1=1,names!B1130,IF(ster!$A$1=2,names!C1130))</f>
        <v>II kw.
2014
przed odpisem 1)</v>
      </c>
      <c r="B1130" s="716" t="s">
        <v>1581</v>
      </c>
      <c r="C1130" s="716" t="s">
        <v>1582</v>
      </c>
      <c r="D1130" s="716"/>
    </row>
    <row r="1131" spans="1:4" ht="32.25">
      <c r="A1131" s="715" t="str">
        <f>IF(ster!$A$1=1,names!B1131,IF(ster!$A$1=2,names!C1131))</f>
        <v>III kw.
2014</v>
      </c>
      <c r="B1131" s="716" t="s">
        <v>165</v>
      </c>
      <c r="C1131" s="716" t="s">
        <v>1037</v>
      </c>
      <c r="D1131" s="716"/>
    </row>
    <row r="1132" spans="1:4" ht="48">
      <c r="A1132" s="715" t="str">
        <f>IF(ster!$A$1=1,names!B1132,IF(ster!$A$1=2,names!C1132))</f>
        <v>III kw.
2014
przed odpisem 1)</v>
      </c>
      <c r="B1132" s="716" t="s">
        <v>1583</v>
      </c>
      <c r="C1132" s="716" t="s">
        <v>1584</v>
      </c>
      <c r="D1132" s="716"/>
    </row>
    <row r="1133" spans="1:4" ht="32.25">
      <c r="A1133" s="715" t="str">
        <f>IF(ster!$A$1=1,names!B1133,IF(ster!$A$1=2,names!C1133))</f>
        <v>IV kw.
2014</v>
      </c>
      <c r="B1133" s="716" t="s">
        <v>166</v>
      </c>
      <c r="C1133" s="716" t="s">
        <v>1038</v>
      </c>
      <c r="D1133" s="716"/>
    </row>
    <row r="1134" spans="1:4" ht="48">
      <c r="A1134" s="715" t="str">
        <f>IF(ster!$A$1=1,names!B1134,IF(ster!$A$1=2,names!C1134))</f>
        <v>IV kw.
2014
przed odpisem 1)</v>
      </c>
      <c r="B1134" s="716" t="s">
        <v>1585</v>
      </c>
      <c r="C1134" s="716" t="s">
        <v>1586</v>
      </c>
      <c r="D1134" s="716"/>
    </row>
    <row r="1135" spans="1:4" ht="48">
      <c r="A1135" s="715" t="str">
        <f>IF(ster!$A$1=1,names!B1135,IF(ster!$A$1=2,names!C1135))</f>
        <v>12 m-cy
2014
przed odpisem 1)</v>
      </c>
      <c r="B1135" s="716" t="s">
        <v>1588</v>
      </c>
      <c r="C1135" s="716" t="s">
        <v>1587</v>
      </c>
      <c r="D1135" s="716"/>
    </row>
    <row r="1136" spans="1:4" ht="32.25">
      <c r="A1136" s="715" t="str">
        <f>IF(ster!$A$1=1,names!B1136,IF(ster!$A$1=2,names!C1136))</f>
        <v>I kw.
2015</v>
      </c>
      <c r="B1136" s="716" t="s">
        <v>167</v>
      </c>
      <c r="C1136" s="716" t="s">
        <v>1039</v>
      </c>
      <c r="D1136" s="716"/>
    </row>
    <row r="1137" spans="1:4" ht="48">
      <c r="A1137" s="715" t="str">
        <f>IF(ster!$A$1=1,names!B1137,IF(ster!$A$1=2,names!C1137))</f>
        <v>I kw.
2015
przed odpisem 1)</v>
      </c>
      <c r="B1137" s="716" t="s">
        <v>1589</v>
      </c>
      <c r="C1137" s="716" t="s">
        <v>1590</v>
      </c>
      <c r="D1137" s="716"/>
    </row>
    <row r="1138" spans="1:4" ht="32.25">
      <c r="A1138" s="715" t="str">
        <f>IF(ster!$A$1=1,names!B1138,IF(ster!$A$1=2,names!C1138))</f>
        <v>II kw.
2015</v>
      </c>
      <c r="B1138" s="716" t="s">
        <v>186</v>
      </c>
      <c r="C1138" s="716" t="s">
        <v>1040</v>
      </c>
      <c r="D1138" s="716"/>
    </row>
    <row r="1139" spans="1:4" ht="48">
      <c r="A1139" s="715" t="str">
        <f>IF(ster!$A$1=1,names!B1139,IF(ster!$A$1=2,names!C1139))</f>
        <v>II kw.
2015
przed odpisem 1)</v>
      </c>
      <c r="B1139" s="716" t="s">
        <v>1591</v>
      </c>
      <c r="C1139" s="716" t="s">
        <v>1592</v>
      </c>
      <c r="D1139" s="716"/>
    </row>
    <row r="1140" spans="1:4" ht="32.25">
      <c r="A1140" s="715" t="str">
        <f>IF(ster!$A$1=1,names!B1140,IF(ster!$A$1=2,names!C1140))</f>
        <v>III kw.
2015</v>
      </c>
      <c r="B1140" s="716" t="s">
        <v>187</v>
      </c>
      <c r="C1140" s="716" t="s">
        <v>1041</v>
      </c>
      <c r="D1140" s="716"/>
    </row>
    <row r="1141" spans="1:4" ht="48">
      <c r="A1141" s="715" t="str">
        <f>IF(ster!$A$1=1,names!B1141,IF(ster!$A$1=2,names!C1141))</f>
        <v>III kw.
2015
przed odpisem 1)</v>
      </c>
      <c r="B1141" s="716" t="s">
        <v>1593</v>
      </c>
      <c r="C1141" s="716" t="s">
        <v>1594</v>
      </c>
      <c r="D1141" s="716"/>
    </row>
    <row r="1142" spans="1:4" ht="32.25">
      <c r="A1142" s="715" t="str">
        <f>IF(ster!$A$1=1,names!B1142,IF(ster!$A$1=2,names!C1142))</f>
        <v>IV kw.
2015</v>
      </c>
      <c r="B1142" s="716" t="s">
        <v>188</v>
      </c>
      <c r="C1142" s="716" t="s">
        <v>1042</v>
      </c>
      <c r="D1142" s="716"/>
    </row>
    <row r="1143" spans="1:4" ht="48">
      <c r="A1143" s="715" t="str">
        <f>IF(ster!$A$1=1,names!B1143,IF(ster!$A$1=2,names!C1143))</f>
        <v>IV kw.
2015
przed odpisem 1)</v>
      </c>
      <c r="B1143" s="716" t="s">
        <v>1596</v>
      </c>
      <c r="C1143" s="716" t="s">
        <v>1595</v>
      </c>
      <c r="D1143" s="716"/>
    </row>
    <row r="1144" spans="1:4" ht="32.25">
      <c r="A1144" s="715" t="str">
        <f>IF(ster!$A$1=1,names!B1144,IF(ster!$A$1=2,names!C1144))</f>
        <v>12 m-cy
2015</v>
      </c>
      <c r="B1144" s="716" t="s">
        <v>189</v>
      </c>
      <c r="C1144" s="716" t="s">
        <v>851</v>
      </c>
      <c r="D1144" s="716"/>
    </row>
    <row r="1145" spans="1:4" ht="48">
      <c r="A1145" s="715" t="str">
        <f>IF(ster!$A$1=1,names!B1145,IF(ster!$A$1=2,names!C1145))</f>
        <v>12 m-cy 2015
przed odpisem 1)</v>
      </c>
      <c r="B1145" s="716" t="s">
        <v>1597</v>
      </c>
      <c r="C1145" s="716" t="s">
        <v>1599</v>
      </c>
      <c r="D1145" s="716"/>
    </row>
    <row r="1146" spans="1:4" ht="32.25">
      <c r="A1146" s="715" t="str">
        <f>IF(ster!$A$1=1,names!B1146,IF(ster!$A$1=2,names!C1146))</f>
        <v>I kw.
2016</v>
      </c>
      <c r="B1146" s="716" t="s">
        <v>274</v>
      </c>
      <c r="C1146" s="716" t="s">
        <v>1043</v>
      </c>
      <c r="D1146" s="716"/>
    </row>
    <row r="1147" spans="1:4" ht="48">
      <c r="A1147" s="715" t="str">
        <f>IF(ster!$A$1=1,names!B1147,IF(ster!$A$1=2,names!C1147))</f>
        <v>I kw.
2016
przed odpisem 1)</v>
      </c>
      <c r="B1147" s="716" t="s">
        <v>1598</v>
      </c>
      <c r="C1147" s="716" t="s">
        <v>1600</v>
      </c>
      <c r="D1147" s="716"/>
    </row>
    <row r="1148" spans="1:4" ht="32.25">
      <c r="A1148" s="715" t="str">
        <f>IF(ster!$A$1=1,names!B1148,IF(ster!$A$1=2,names!C1148))</f>
        <v>II kw.
2016</v>
      </c>
      <c r="B1148" s="716" t="s">
        <v>275</v>
      </c>
      <c r="C1148" s="716" t="s">
        <v>1044</v>
      </c>
      <c r="D1148" s="716"/>
    </row>
    <row r="1149" spans="1:4" ht="48">
      <c r="A1149" s="715" t="str">
        <f>IF(ster!$A$1=1,names!B1149,IF(ster!$A$1=2,names!C1149))</f>
        <v>II kw.
2016
przed odpisem 1)</v>
      </c>
      <c r="B1149" s="716" t="s">
        <v>1601</v>
      </c>
      <c r="C1149" s="716" t="s">
        <v>1602</v>
      </c>
      <c r="D1149" s="716"/>
    </row>
    <row r="1150" spans="1:4" ht="32.25">
      <c r="A1150" s="715" t="str">
        <f>IF(ster!$A$1=1,names!B1150,IF(ster!$A$1=2,names!C1150))</f>
        <v>III kw.
2016</v>
      </c>
      <c r="B1150" s="716" t="s">
        <v>276</v>
      </c>
      <c r="C1150" s="716" t="s">
        <v>1045</v>
      </c>
      <c r="D1150" s="716"/>
    </row>
    <row r="1151" spans="1:4" ht="48">
      <c r="A1151" s="715" t="str">
        <f>IF(ster!$A$1=1,names!B1151,IF(ster!$A$1=2,names!C1151))</f>
        <v>III kw.
2016
przed odpisem 1)</v>
      </c>
      <c r="B1151" s="716" t="s">
        <v>1603</v>
      </c>
      <c r="C1151" s="716" t="s">
        <v>1604</v>
      </c>
      <c r="D1151" s="716"/>
    </row>
    <row r="1152" spans="1:4" ht="32.25">
      <c r="A1152" s="715" t="str">
        <f>IF(ster!$A$1=1,names!B1152,IF(ster!$A$1=2,names!C1152))</f>
        <v>IV kw.
2016</v>
      </c>
      <c r="B1152" s="716" t="s">
        <v>277</v>
      </c>
      <c r="C1152" s="716" t="s">
        <v>1046</v>
      </c>
      <c r="D1152" s="716"/>
    </row>
    <row r="1153" spans="1:5" ht="48">
      <c r="A1153" s="715" t="str">
        <f>IF(ster!$A$1=1,names!B1153,IF(ster!$A$1=2,names!C1153))</f>
        <v>IV kw.
2016
przed odpisem 1)</v>
      </c>
      <c r="B1153" s="716" t="s">
        <v>1605</v>
      </c>
      <c r="C1153" s="716" t="s">
        <v>1606</v>
      </c>
      <c r="D1153" s="716"/>
    </row>
    <row r="1154" spans="1:5" ht="32.25">
      <c r="A1154" s="715" t="str">
        <f>IF(ster!$A$1=1,names!B1154,IF(ster!$A$1=2,names!C1154))</f>
        <v>12 m-cy
2016</v>
      </c>
      <c r="B1154" s="716" t="s">
        <v>278</v>
      </c>
      <c r="C1154" s="716" t="s">
        <v>852</v>
      </c>
      <c r="D1154" s="716"/>
    </row>
    <row r="1155" spans="1:5" ht="48">
      <c r="A1155" s="715" t="str">
        <f>IF(ster!$A$1=1,names!B1155,IF(ster!$A$1=2,names!C1155))</f>
        <v>12 m-cy
2016
przed odpisem 1)</v>
      </c>
      <c r="B1155" s="716" t="s">
        <v>1608</v>
      </c>
      <c r="C1155" s="716" t="s">
        <v>1607</v>
      </c>
      <c r="D1155" s="716"/>
    </row>
    <row r="1156" spans="1:5" ht="32.25">
      <c r="A1156" s="715" t="str">
        <f>IF(ster!$A$1=1,names!B1156,IF(ster!$A$1=2,names!C1156))</f>
        <v>I kw.
2017</v>
      </c>
      <c r="B1156" s="716" t="s">
        <v>301</v>
      </c>
      <c r="C1156" s="716" t="s">
        <v>1047</v>
      </c>
      <c r="D1156" s="716"/>
    </row>
    <row r="1157" spans="1:5" ht="48">
      <c r="A1157" s="715" t="str">
        <f>IF(ster!$A$1=1,names!B1157,IF(ster!$A$1=2,names!C1157))</f>
        <v>I kw.
2017
przed odpisem 1)</v>
      </c>
      <c r="B1157" s="716" t="s">
        <v>1609</v>
      </c>
      <c r="C1157" s="716" t="s">
        <v>1612</v>
      </c>
      <c r="D1157" s="716"/>
    </row>
    <row r="1158" spans="1:5" ht="32.25">
      <c r="A1158" s="715" t="str">
        <f>IF(ster!$A$1=1,names!B1158,IF(ster!$A$1=2,names!C1158))</f>
        <v>II kw.
2017</v>
      </c>
      <c r="B1158" s="716" t="s">
        <v>302</v>
      </c>
      <c r="C1158" s="716" t="s">
        <v>1048</v>
      </c>
      <c r="D1158" s="716"/>
    </row>
    <row r="1159" spans="1:5" ht="48">
      <c r="A1159" s="715" t="str">
        <f>IF(ster!$A$1=1,names!B1159,IF(ster!$A$1=2,names!C1159))</f>
        <v>II kw.
2017
przed odpisem 1)</v>
      </c>
      <c r="B1159" s="716" t="s">
        <v>1610</v>
      </c>
      <c r="C1159" s="716" t="s">
        <v>1613</v>
      </c>
      <c r="D1159" s="716"/>
    </row>
    <row r="1160" spans="1:5" ht="32.25">
      <c r="A1160" s="715" t="str">
        <f>IF(ster!$A$1=1,names!B1160,IF(ster!$A$1=2,names!C1160))</f>
        <v>III kw.
2017</v>
      </c>
      <c r="B1160" s="716" t="s">
        <v>303</v>
      </c>
      <c r="C1160" s="716" t="s">
        <v>1049</v>
      </c>
      <c r="D1160" s="716"/>
    </row>
    <row r="1161" spans="1:5" ht="48">
      <c r="A1161" s="715" t="str">
        <f>IF(ster!$A$1=1,names!B1161,IF(ster!$A$1=2,names!C1161))</f>
        <v>III kw.
2017
przed odpisem 1)</v>
      </c>
      <c r="B1161" s="716" t="s">
        <v>1611</v>
      </c>
      <c r="C1161" s="716" t="s">
        <v>1614</v>
      </c>
      <c r="D1161" s="716"/>
      <c r="E1161" s="709" t="s">
        <v>1322</v>
      </c>
    </row>
    <row r="1162" spans="1:5" ht="32.25">
      <c r="A1162" s="715" t="str">
        <f>IF(ster!$A$1=1,names!B1162,IF(ster!$A$1=2,names!C1162))</f>
        <v>IV kw.
2017</v>
      </c>
      <c r="B1162" s="716" t="s">
        <v>304</v>
      </c>
      <c r="C1162" s="716" t="s">
        <v>1050</v>
      </c>
      <c r="D1162" s="716"/>
      <c r="E1162" s="709" t="s">
        <v>304</v>
      </c>
    </row>
    <row r="1163" spans="1:5" ht="48">
      <c r="A1163" s="715" t="str">
        <f>IF(ster!$A$1=1,names!B1163,IF(ster!$A$1=2,names!C1163))</f>
        <v>IV kw.
2017
przed odpisem 1)</v>
      </c>
      <c r="B1163" s="716" t="s">
        <v>1615</v>
      </c>
      <c r="C1163" s="716" t="s">
        <v>1622</v>
      </c>
      <c r="D1163" s="716"/>
      <c r="E1163" s="709" t="s">
        <v>1323</v>
      </c>
    </row>
    <row r="1164" spans="1:5" ht="32.25">
      <c r="A1164" s="715" t="str">
        <f>IF(ster!$A$1=1,names!B1164,IF(ster!$A$1=2,names!C1164))</f>
        <v>12 m-cy
2017</v>
      </c>
      <c r="B1164" s="716" t="s">
        <v>305</v>
      </c>
      <c r="C1164" s="716" t="s">
        <v>853</v>
      </c>
      <c r="D1164" s="716"/>
      <c r="E1164" s="709" t="s">
        <v>305</v>
      </c>
    </row>
    <row r="1165" spans="1:5" ht="48">
      <c r="A1165" s="715" t="str">
        <f>IF(ster!$A$1=1,names!B1165,IF(ster!$A$1=2,names!C1165))</f>
        <v>12 m-cy
2017
przed odpisem 1)</v>
      </c>
      <c r="B1165" s="716" t="s">
        <v>1616</v>
      </c>
      <c r="C1165" s="716" t="s">
        <v>1623</v>
      </c>
      <c r="D1165" s="716"/>
      <c r="E1165" s="709" t="s">
        <v>1324</v>
      </c>
    </row>
    <row r="1166" spans="1:5" ht="32.25">
      <c r="A1166" s="715" t="str">
        <f>IF(ster!$A$1=1,names!B1166,IF(ster!$A$1=2,names!C1166))</f>
        <v>I kw.
2018</v>
      </c>
      <c r="B1166" s="716" t="s">
        <v>326</v>
      </c>
      <c r="C1166" s="716" t="s">
        <v>1051</v>
      </c>
      <c r="D1166" s="716"/>
      <c r="E1166" s="709" t="s">
        <v>326</v>
      </c>
    </row>
    <row r="1167" spans="1:5" ht="48">
      <c r="A1167" s="715" t="str">
        <f>IF(ster!$A$1=1,names!B1167,IF(ster!$A$1=2,names!C1167))</f>
        <v>I kw.
2018
przed odpisem 1)</v>
      </c>
      <c r="B1167" s="716" t="s">
        <v>1617</v>
      </c>
      <c r="C1167" s="716" t="s">
        <v>1624</v>
      </c>
      <c r="D1167" s="716"/>
      <c r="E1167" s="709" t="s">
        <v>1325</v>
      </c>
    </row>
    <row r="1168" spans="1:5" ht="32.25">
      <c r="A1168" s="715" t="str">
        <f>IF(ster!$A$1=1,names!B1168,IF(ster!$A$1=2,names!C1168))</f>
        <v>II kw.
2018</v>
      </c>
      <c r="B1168" s="716" t="s">
        <v>327</v>
      </c>
      <c r="C1168" s="716" t="s">
        <v>1052</v>
      </c>
      <c r="D1168" s="716"/>
      <c r="E1168" s="709" t="s">
        <v>327</v>
      </c>
    </row>
    <row r="1169" spans="1:5" ht="48">
      <c r="A1169" s="715" t="str">
        <f>IF(ster!$A$1=1,names!B1169,IF(ster!$A$1=2,names!C1169))</f>
        <v>II kw.
2018
przed odpisem 1)</v>
      </c>
      <c r="B1169" s="716" t="s">
        <v>1618</v>
      </c>
      <c r="C1169" s="716" t="s">
        <v>1625</v>
      </c>
      <c r="D1169" s="716"/>
      <c r="E1169" s="709" t="s">
        <v>1326</v>
      </c>
    </row>
    <row r="1170" spans="1:5" ht="32.25">
      <c r="A1170" s="715" t="str">
        <f>IF(ster!$A$1=1,names!B1170,IF(ster!$A$1=2,names!C1170))</f>
        <v>III kw.
2018</v>
      </c>
      <c r="B1170" s="716" t="s">
        <v>328</v>
      </c>
      <c r="C1170" s="716" t="s">
        <v>1053</v>
      </c>
      <c r="D1170" s="716"/>
      <c r="E1170" s="709" t="s">
        <v>328</v>
      </c>
    </row>
    <row r="1171" spans="1:5" ht="48">
      <c r="A1171" s="715" t="str">
        <f>IF(ster!$A$1=1,names!B1171,IF(ster!$A$1=2,names!C1171))</f>
        <v>III kw.
2018
przed odpisem 1)</v>
      </c>
      <c r="B1171" s="716" t="s">
        <v>1619</v>
      </c>
      <c r="C1171" s="716" t="s">
        <v>1626</v>
      </c>
      <c r="D1171" s="716"/>
      <c r="E1171" s="709" t="s">
        <v>1327</v>
      </c>
    </row>
    <row r="1172" spans="1:5" ht="32.25">
      <c r="A1172" s="715" t="str">
        <f>IF(ster!$A$1=1,names!B1172,IF(ster!$A$1=2,names!C1172))</f>
        <v>IV kw.
2018           2)</v>
      </c>
      <c r="B1172" s="716" t="s">
        <v>1342</v>
      </c>
      <c r="C1172" s="716" t="s">
        <v>1343</v>
      </c>
      <c r="D1172" s="716"/>
      <c r="E1172" s="709" t="s">
        <v>1328</v>
      </c>
    </row>
    <row r="1173" spans="1:5" ht="48">
      <c r="A1173" s="715" t="str">
        <f>IF(ster!$A$1=1,names!B1173,IF(ster!$A$1=2,names!C1173))</f>
        <v>IV kw.
2018
przed odpisem       1),2)</v>
      </c>
      <c r="B1173" s="716" t="s">
        <v>1346</v>
      </c>
      <c r="C1173" s="716" t="s">
        <v>1347</v>
      </c>
      <c r="D1173" s="716"/>
      <c r="E1173" s="709" t="s">
        <v>1329</v>
      </c>
    </row>
    <row r="1174" spans="1:5" ht="32.25">
      <c r="A1174" s="715" t="str">
        <f>IF(ster!$A$1=1,names!B1174,IF(ster!$A$1=2,names!C1174))</f>
        <v>12 m-cy
2018                      2)</v>
      </c>
      <c r="B1174" s="716" t="s">
        <v>1344</v>
      </c>
      <c r="C1174" s="716" t="s">
        <v>1345</v>
      </c>
      <c r="D1174" s="716"/>
      <c r="E1174" s="709" t="s">
        <v>1330</v>
      </c>
    </row>
    <row r="1175" spans="1:5" ht="48">
      <c r="A1175" s="715" t="str">
        <f>IF(ster!$A$1=1,names!B1175,IF(ster!$A$1=2,names!C1175))</f>
        <v>12 m-cy
2018
przed odpisem           1),2)</v>
      </c>
      <c r="B1175" s="716" t="s">
        <v>1348</v>
      </c>
      <c r="C1175" s="716" t="s">
        <v>1349</v>
      </c>
      <c r="D1175" s="716"/>
      <c r="E1175" s="709" t="s">
        <v>1331</v>
      </c>
    </row>
    <row r="1176" spans="1:5" ht="32.25">
      <c r="A1176" s="715" t="str">
        <f>IF(ster!$A$1=1,names!B1176,IF(ster!$A$1=2,names!C1176))</f>
        <v>I kw.
2019</v>
      </c>
      <c r="B1176" s="716" t="s">
        <v>363</v>
      </c>
      <c r="C1176" s="716" t="s">
        <v>1055</v>
      </c>
      <c r="D1176" s="716"/>
      <c r="E1176" s="709" t="s">
        <v>363</v>
      </c>
    </row>
    <row r="1177" spans="1:5" ht="48">
      <c r="A1177" s="715" t="str">
        <f>IF(ster!$A$1=1,names!B1177,IF(ster!$A$1=2,names!C1177))</f>
        <v>I kw.
2019
przed odpisem 1)</v>
      </c>
      <c r="B1177" s="716" t="s">
        <v>1627</v>
      </c>
      <c r="C1177" s="716" t="s">
        <v>1630</v>
      </c>
      <c r="D1177" s="716"/>
      <c r="E1177" s="709" t="s">
        <v>1332</v>
      </c>
    </row>
    <row r="1178" spans="1:5" ht="32.25">
      <c r="A1178" s="715" t="str">
        <f>IF(ster!$A$1=1,names!B1178,IF(ster!$A$1=2,names!C1178))</f>
        <v>II kw.
2019</v>
      </c>
      <c r="B1178" s="716" t="s">
        <v>364</v>
      </c>
      <c r="C1178" s="716" t="s">
        <v>1014</v>
      </c>
      <c r="D1178" s="716"/>
      <c r="E1178" s="709" t="s">
        <v>364</v>
      </c>
    </row>
    <row r="1179" spans="1:5" ht="48">
      <c r="A1179" s="715" t="str">
        <f>IF(ster!$A$1=1,names!B1179,IF(ster!$A$1=2,names!C1179))</f>
        <v>II kw.
2019
przed odpisem 1)</v>
      </c>
      <c r="B1179" s="716" t="s">
        <v>1628</v>
      </c>
      <c r="C1179" s="716" t="s">
        <v>1631</v>
      </c>
      <c r="D1179" s="716"/>
      <c r="E1179" s="709" t="s">
        <v>1333</v>
      </c>
    </row>
    <row r="1180" spans="1:5" ht="32.25">
      <c r="A1180" s="715" t="str">
        <f>IF(ster!$A$1=1,names!B1180,IF(ster!$A$1=2,names!C1180))</f>
        <v>III kw.
2019</v>
      </c>
      <c r="B1180" s="716" t="s">
        <v>365</v>
      </c>
      <c r="C1180" s="716" t="s">
        <v>1056</v>
      </c>
      <c r="D1180" s="716"/>
      <c r="E1180" s="709" t="s">
        <v>365</v>
      </c>
    </row>
    <row r="1181" spans="1:5" ht="48">
      <c r="A1181" s="715" t="str">
        <f>IF(ster!$A$1=1,names!B1181,IF(ster!$A$1=2,names!C1181))</f>
        <v>III kw.
2019
przed odpisem 1)</v>
      </c>
      <c r="B1181" s="716" t="s">
        <v>1629</v>
      </c>
      <c r="C1181" s="716" t="s">
        <v>1632</v>
      </c>
      <c r="D1181" s="716"/>
      <c r="E1181" s="709" t="s">
        <v>1334</v>
      </c>
    </row>
    <row r="1182" spans="1:5" ht="32.25">
      <c r="A1182" s="715" t="str">
        <f>IF(ster!$A$1=1,names!B1182,IF(ster!$A$1=2,names!C1182))</f>
        <v>IV kw.
2019</v>
      </c>
      <c r="B1182" s="716" t="s">
        <v>367</v>
      </c>
      <c r="C1182" s="716" t="s">
        <v>1057</v>
      </c>
      <c r="D1182" s="716"/>
      <c r="E1182" s="709" t="s">
        <v>367</v>
      </c>
    </row>
    <row r="1183" spans="1:5" ht="48">
      <c r="A1183" s="715" t="str">
        <f>IF(ster!$A$1=1,names!B1183,IF(ster!$A$1=2,names!C1183))</f>
        <v>IV kw.
2019
przed odpisem    1)</v>
      </c>
      <c r="B1183" s="716" t="s">
        <v>1350</v>
      </c>
      <c r="C1183" s="716" t="s">
        <v>1351</v>
      </c>
      <c r="D1183" s="716"/>
      <c r="E1183" s="709" t="s">
        <v>1335</v>
      </c>
    </row>
    <row r="1184" spans="1:5" ht="32.25">
      <c r="A1184" s="715" t="str">
        <f>IF(ster!$A$1=1,names!B1184,IF(ster!$A$1=2,names!C1184))</f>
        <v>12 m-cy
2019</v>
      </c>
      <c r="B1184" s="716" t="s">
        <v>366</v>
      </c>
      <c r="C1184" s="716" t="s">
        <v>855</v>
      </c>
      <c r="D1184" s="716"/>
      <c r="E1184" s="709" t="s">
        <v>366</v>
      </c>
    </row>
    <row r="1185" spans="1:5" ht="48">
      <c r="A1185" s="715" t="str">
        <f>IF(ster!$A$1=1,names!B1185,IF(ster!$A$1=2,names!C1185))</f>
        <v>12 m-cy
2019
przed odpisem    1)</v>
      </c>
      <c r="B1185" s="716" t="s">
        <v>1352</v>
      </c>
      <c r="C1185" s="716" t="s">
        <v>1353</v>
      </c>
      <c r="D1185" s="716"/>
      <c r="E1185" s="709" t="s">
        <v>1336</v>
      </c>
    </row>
    <row r="1186" spans="1:5" ht="32.25">
      <c r="A1186" s="715" t="str">
        <f>IF(ster!$A$1=1,names!B1186,IF(ster!$A$1=2,names!C1186))</f>
        <v>I kw.
2020</v>
      </c>
      <c r="B1186" s="716" t="s">
        <v>404</v>
      </c>
      <c r="C1186" s="716" t="s">
        <v>1018</v>
      </c>
      <c r="D1186" s="716"/>
      <c r="E1186" s="709" t="s">
        <v>404</v>
      </c>
    </row>
    <row r="1187" spans="1:5" ht="48">
      <c r="A1187" s="715" t="str">
        <f>IF(ster!$A$1=1,names!B1187,IF(ster!$A$1=2,names!C1187))</f>
        <v>I kw.
2020
przed odpisem 1)</v>
      </c>
      <c r="B1187" s="716" t="s">
        <v>1620</v>
      </c>
      <c r="C1187" s="716" t="s">
        <v>1621</v>
      </c>
      <c r="D1187" s="716"/>
      <c r="E1187" s="709" t="s">
        <v>1337</v>
      </c>
    </row>
    <row r="1188" spans="1:5" ht="32.25">
      <c r="A1188" s="715" t="str">
        <f>IF(ster!$A$1=1,names!B1188,IF(ster!$A$1=2,names!C1188))</f>
        <v>IV kw.
2018</v>
      </c>
      <c r="B1188" s="716" t="s">
        <v>329</v>
      </c>
      <c r="C1188" s="716" t="s">
        <v>1054</v>
      </c>
      <c r="D1188" s="716"/>
    </row>
    <row r="1189" spans="1:5" ht="48">
      <c r="A1189" s="715" t="str">
        <f>IF(ster!$A$1=1,names!B1189,IF(ster!$A$1=2,names!C1189))</f>
        <v>IV kw.
2018
przed odpisem   1)</v>
      </c>
      <c r="B1189" s="716" t="s">
        <v>1356</v>
      </c>
      <c r="C1189" s="716" t="s">
        <v>1354</v>
      </c>
      <c r="D1189" s="716"/>
    </row>
    <row r="1190" spans="1:5" ht="32.25">
      <c r="A1190" s="715" t="str">
        <f>IF(ster!$A$1=1,names!B1190,IF(ster!$A$1=2,names!C1190))</f>
        <v>12 m-cy
2018</v>
      </c>
      <c r="B1190" s="716" t="s">
        <v>330</v>
      </c>
      <c r="C1190" s="716" t="s">
        <v>854</v>
      </c>
      <c r="D1190" s="716"/>
    </row>
    <row r="1191" spans="1:5" ht="48">
      <c r="A1191" s="715" t="str">
        <f>IF(ster!$A$1=1,names!B1191,IF(ster!$A$1=2,names!C1191))</f>
        <v>12 m-cy
2018
przed odpisem   1)</v>
      </c>
      <c r="B1191" s="716" t="s">
        <v>1357</v>
      </c>
      <c r="C1191" s="716" t="s">
        <v>1355</v>
      </c>
      <c r="D1191" s="716"/>
    </row>
    <row r="1192" spans="1:5">
      <c r="A1192" s="715">
        <f>IF(ster!$A$1=1,names!B1192,IF(ster!$A$1=2,names!C1192))</f>
        <v>0</v>
      </c>
      <c r="B1192" s="716"/>
      <c r="C1192" s="716"/>
      <c r="D1192" s="716"/>
    </row>
    <row r="1193" spans="1:5">
      <c r="A1193" s="715" t="str">
        <f>IF(ster!$A$1=1,names!B1193,IF(ster!$A$1=2,names!C1193))</f>
        <v>Segment Downstream</v>
      </c>
      <c r="B1193" s="717" t="s">
        <v>147</v>
      </c>
      <c r="C1193" s="716" t="s">
        <v>1358</v>
      </c>
      <c r="D1193" s="716"/>
    </row>
    <row r="1194" spans="1:5">
      <c r="A1194" s="715">
        <f>IF(ster!$A$1=1,names!B1194,IF(ster!$A$1=2,names!C1194))</f>
        <v>0</v>
      </c>
      <c r="B1194" s="716"/>
      <c r="C1194" s="716"/>
      <c r="D1194" s="716"/>
    </row>
    <row r="1195" spans="1:5" ht="32.25">
      <c r="A1195" s="715" t="str">
        <f>IF(ster!$A$1=1,names!B1195,IF(ster!$A$1=2,names!C1195))</f>
        <v>Wyszczególnienie, 
mln PLN</v>
      </c>
      <c r="B1195" s="716" t="s">
        <v>161</v>
      </c>
      <c r="C1195" s="716" t="s">
        <v>948</v>
      </c>
      <c r="D1195" s="716"/>
    </row>
    <row r="1196" spans="1:5">
      <c r="A1196" s="715">
        <f>IF(ster!$A$1=1,names!B1196,IF(ster!$A$1=2,names!C1196))</f>
        <v>0</v>
      </c>
      <c r="B1196" s="716"/>
      <c r="C1196" s="716"/>
      <c r="D1196" s="716"/>
    </row>
    <row r="1197" spans="1:5">
      <c r="A1197" s="715" t="str">
        <f>IF(ster!$A$1=1,names!B1197,IF(ster!$A$1=2,names!C1197))</f>
        <v>Przychody ze sprzedaży</v>
      </c>
      <c r="B1197" s="716" t="s">
        <v>57</v>
      </c>
      <c r="C1197" s="716" t="s">
        <v>1359</v>
      </c>
      <c r="D1197" s="716"/>
    </row>
    <row r="1198" spans="1:5">
      <c r="A1198" s="715" t="str">
        <f>IF(ster!$A$1=1,names!B1198,IF(ster!$A$1=2,names!C1198))</f>
        <v>Sprzedaż zewnętrzna</v>
      </c>
      <c r="B1198" s="716" t="s">
        <v>33</v>
      </c>
      <c r="C1198" s="716" t="s">
        <v>990</v>
      </c>
      <c r="D1198" s="716"/>
    </row>
    <row r="1199" spans="1:5">
      <c r="A1199" s="715" t="str">
        <f>IF(ster!$A$1=1,names!B1199,IF(ster!$A$1=2,names!C1199))</f>
        <v>Sprzedaż między segmentami</v>
      </c>
      <c r="B1199" s="716" t="s">
        <v>34</v>
      </c>
      <c r="C1199" s="716" t="s">
        <v>991</v>
      </c>
      <c r="D1199" s="716"/>
    </row>
    <row r="1200" spans="1:5">
      <c r="A1200" s="715" t="str">
        <f>IF(ster!$A$1=1,names!B1200,IF(ster!$A$1=2,names!C1200))</f>
        <v>Koszty operacyjne ogółem</v>
      </c>
      <c r="B1200" s="716" t="s">
        <v>316</v>
      </c>
      <c r="C1200" s="716" t="s">
        <v>1360</v>
      </c>
      <c r="D1200" s="716"/>
    </row>
    <row r="1201" spans="1:4">
      <c r="A1201" s="715" t="str">
        <f>IF(ster!$A$1=1,names!B1201,IF(ster!$A$1=2,names!C1201))</f>
        <v>Pozostałe przychody operacyjne</v>
      </c>
      <c r="B1201" s="716" t="s">
        <v>35</v>
      </c>
      <c r="C1201" s="716" t="s">
        <v>993</v>
      </c>
      <c r="D1201" s="716"/>
    </row>
    <row r="1202" spans="1:4">
      <c r="A1202" s="715" t="str">
        <f>IF(ster!$A$1=1,names!B1202,IF(ster!$A$1=2,names!C1202))</f>
        <v>Pozostałe koszty operacyjne</v>
      </c>
      <c r="B1202" s="716" t="s">
        <v>39</v>
      </c>
      <c r="C1202" s="716" t="s">
        <v>994</v>
      </c>
      <c r="D1202" s="716"/>
    </row>
    <row r="1203" spans="1:4">
      <c r="A1203" s="715" t="str">
        <f>IF(ster!$A$1=1,names!B1203,IF(ster!$A$1=2,names!C1203))</f>
        <v>Pozostałe przychody/koszty operacyjne netto</v>
      </c>
      <c r="B1203" s="716" t="s">
        <v>20</v>
      </c>
      <c r="C1203" s="716" t="s">
        <v>995</v>
      </c>
      <c r="D1203" s="716"/>
    </row>
    <row r="1204" spans="1:4" ht="32.25">
      <c r="A1204" s="715" t="str">
        <f>IF(ster!$A$1=1,names!B1204,IF(ster!$A$1=2,names!C1204))</f>
        <v xml:space="preserve">Strata/odwrócenie straty z tytułu utraty wartości instrumentów finansowych </v>
      </c>
      <c r="B1204" s="716" t="s">
        <v>346</v>
      </c>
      <c r="C1204" s="716" t="s">
        <v>1361</v>
      </c>
      <c r="D1204" s="716"/>
    </row>
    <row r="1205" spans="1:4" ht="32.25">
      <c r="A1205" s="715" t="str">
        <f>IF(ster!$A$1=1,names!B1205,IF(ster!$A$1=2,names!C1205))</f>
        <v>Udział w wyniku finansowym jednostek wycenianych metodą praw własności</v>
      </c>
      <c r="B1205" s="716" t="s">
        <v>24</v>
      </c>
      <c r="C1205" s="716" t="s">
        <v>1076</v>
      </c>
      <c r="D1205" s="716"/>
    </row>
    <row r="1206" spans="1:4" ht="48">
      <c r="A1206" s="715" t="str">
        <f>IF(ster!$A$1=1,names!B1206,IF(ster!$A$1=2,names!C1206))</f>
        <v>Zysk/(Strata) operacyjna wg LIFO powiększona o amortyzację 
(EBITDA LIFO) przed odpisami aktualizującymi</v>
      </c>
      <c r="B1206" s="716" t="s">
        <v>260</v>
      </c>
      <c r="C1206" s="716" t="s">
        <v>997</v>
      </c>
      <c r="D1206" s="716"/>
    </row>
    <row r="1207" spans="1:4" ht="32.25">
      <c r="A1207" s="715" t="str">
        <f>IF(ster!$A$1=1,names!B1207,IF(ster!$A$1=2,names!C1207))</f>
        <v>Zysk/(Strata) operacyjna wg LIFO powiększona o amortyzację 
(EBITDA LIFO)</v>
      </c>
      <c r="B1207" s="716" t="s">
        <v>259</v>
      </c>
      <c r="C1207" s="716" t="s">
        <v>998</v>
      </c>
      <c r="D1207" s="716"/>
    </row>
    <row r="1208" spans="1:4" ht="32.25">
      <c r="A1208" s="715" t="str">
        <f>IF(ster!$A$1=1,names!B1208,IF(ster!$A$1=2,names!C1208))</f>
        <v>Zysk/(Strata) operacyjna powiększona o amortyzację (EBITDA)</v>
      </c>
      <c r="B1208" s="716" t="s">
        <v>119</v>
      </c>
      <c r="C1208" s="716" t="s">
        <v>999</v>
      </c>
      <c r="D1208" s="716"/>
    </row>
    <row r="1209" spans="1:4" ht="32.25">
      <c r="A1209" s="715" t="str">
        <f>IF(ster!$A$1=1,names!B1209,IF(ster!$A$1=2,names!C1209))</f>
        <v>Zysk/(Strata) operacyjna wg LIFO (EBIT LIFO) przed odpisami aktualizującymi</v>
      </c>
      <c r="B1209" s="716" t="s">
        <v>255</v>
      </c>
      <c r="C1209" s="716" t="s">
        <v>1000</v>
      </c>
      <c r="D1209" s="716"/>
    </row>
    <row r="1210" spans="1:4">
      <c r="A1210" s="715" t="str">
        <f>IF(ster!$A$1=1,names!B1210,IF(ster!$A$1=2,names!C1210))</f>
        <v>Zysk/(Strata) operacyjna wg LIFO (EBIT LIFO)</v>
      </c>
      <c r="B1210" s="716" t="s">
        <v>256</v>
      </c>
      <c r="C1210" s="716" t="s">
        <v>1001</v>
      </c>
      <c r="D1210" s="716"/>
    </row>
    <row r="1211" spans="1:4">
      <c r="A1211" s="715" t="str">
        <f>IF(ster!$A$1=1,names!B1211,IF(ster!$A$1=2,names!C1211))</f>
        <v>Zysk/(Strata) operacyjna (EBIT)</v>
      </c>
      <c r="B1211" s="716" t="s">
        <v>257</v>
      </c>
      <c r="C1211" s="716" t="s">
        <v>1002</v>
      </c>
      <c r="D1211" s="716"/>
    </row>
    <row r="1212" spans="1:4">
      <c r="A1212" s="715" t="str">
        <f>IF(ster!$A$1=1,names!B1212,IF(ster!$A$1=2,names!C1212))</f>
        <v>Zwiększenie aktywów trwałych ***</v>
      </c>
      <c r="B1212" s="716" t="s">
        <v>387</v>
      </c>
      <c r="C1212" s="716" t="s">
        <v>1362</v>
      </c>
      <c r="D1212" s="716"/>
    </row>
    <row r="1213" spans="1:4">
      <c r="A1213" s="715" t="str">
        <f>IF(ster!$A$1=1,names!B1213,IF(ster!$A$1=2,names!C1213))</f>
        <v>Sprzedaż produktów (tys. ton)</v>
      </c>
      <c r="B1213" s="716" t="s">
        <v>100</v>
      </c>
      <c r="C1213" s="716" t="s">
        <v>1004</v>
      </c>
      <c r="D1213" s="716"/>
    </row>
    <row r="1214" spans="1:4" ht="63.75">
      <c r="A1214" s="715" t="str">
        <f>IF(ster!$A$1=1,names!B1214,IF(ster!$A$1=2,names!C1214))</f>
        <v>*) Dane przekształcone – zmiana metody konsolidacji spółek Basell ORLEN Polyolefines Sp. z o.o. i Płocki Park Przemysłowo-Technologiczny S.A. zgodnie z MSSF 11.</v>
      </c>
      <c r="B1214" s="716" t="s">
        <v>197</v>
      </c>
      <c r="C1214" s="716" t="s">
        <v>1027</v>
      </c>
      <c r="D1214" s="716"/>
    </row>
    <row r="1215" spans="1:4" ht="79.5">
      <c r="A1215" s="715" t="str">
        <f>IF(ster!$A$1=1,names!B1215,IF(ster!$A$1=2,names!C1215))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B1215" s="716" t="s">
        <v>360</v>
      </c>
      <c r="C1215" s="716" t="s">
        <v>1363</v>
      </c>
      <c r="D1215" s="716"/>
    </row>
    <row r="1216" spans="1:4" ht="63.75">
      <c r="A1216" s="715" t="str">
        <f>IF(ster!$A$1=1,names!B1216,IF(ster!$A$1=2,names!C1216))</f>
        <v>***) Zgodnie z MSSF 16 Leasing w pozycji zwiększenie aktywów trwałych ujęto wartość praw do użytkowania - w celu zachowania spójności zaktualizowano również dane za I kwartał 2019.</v>
      </c>
      <c r="B1216" s="716" t="s">
        <v>388</v>
      </c>
      <c r="C1216" s="716" t="s">
        <v>1364</v>
      </c>
      <c r="D1216" s="716"/>
    </row>
    <row r="1217" spans="1:6" ht="32.25">
      <c r="A1217" s="715" t="str">
        <f>IF(ster!$A$1=1,names!B1217,IF(ster!$A$1=2,names!C1217))</f>
        <v>IV kw.
2018 **</v>
      </c>
      <c r="B1217" s="716" t="s">
        <v>353</v>
      </c>
      <c r="C1217" s="716" t="s">
        <v>1054</v>
      </c>
      <c r="D1217" s="716"/>
    </row>
    <row r="1218" spans="1:6" ht="32.25">
      <c r="A1218" s="715" t="str">
        <f>IF(ster!$A$1=1,names!B1218,IF(ster!$A$1=2,names!C1218))</f>
        <v>12 m-cy
2018 **</v>
      </c>
      <c r="B1218" s="716" t="s">
        <v>354</v>
      </c>
      <c r="C1218" s="716" t="s">
        <v>1365</v>
      </c>
      <c r="D1218" s="716"/>
    </row>
    <row r="1219" spans="1:6">
      <c r="A1219" s="715">
        <f>IF(ster!$A$1=1,names!B1219,IF(ster!$A$1=2,names!C1219))</f>
        <v>0</v>
      </c>
      <c r="B1219" s="716"/>
      <c r="C1219" s="716"/>
      <c r="D1219" s="716"/>
    </row>
    <row r="1220" spans="1:6" ht="32.25">
      <c r="A1220" s="715" t="str">
        <f>IF(ster!$A$1=1,names!B1220,IF(ster!$A$1=2,names!C1220))</f>
        <v>Skonsolidowane sprawozdanie z zysków lub strat i innych całkowitych dochodów</v>
      </c>
      <c r="B1220" s="717" t="s">
        <v>265</v>
      </c>
      <c r="C1220" s="716" t="s">
        <v>1064</v>
      </c>
      <c r="D1220" s="716"/>
      <c r="E1220" s="711" t="s">
        <v>1380</v>
      </c>
      <c r="F1220" s="711"/>
    </row>
    <row r="1221" spans="1:6">
      <c r="A1221" s="715">
        <f>IF(ster!$A$1=1,names!B1221,IF(ster!$A$1=2,names!C1221))</f>
        <v>0</v>
      </c>
      <c r="B1221" s="716"/>
      <c r="C1221" s="716"/>
      <c r="D1221" s="716"/>
    </row>
    <row r="1222" spans="1:6" ht="32.25">
      <c r="A1222" s="715" t="str">
        <f>IF(ster!$A$1=1,names!B1222,IF(ster!$A$1=2,names!C1222))</f>
        <v>Wyszczególnienie, 
mln PLN</v>
      </c>
      <c r="B1222" s="716" t="s">
        <v>161</v>
      </c>
      <c r="C1222" s="716" t="s">
        <v>948</v>
      </c>
      <c r="D1222" s="716"/>
    </row>
    <row r="1223" spans="1:6">
      <c r="A1223" s="715">
        <f>IF(ster!$A$1=1,names!B1223,IF(ster!$A$1=2,names!C1223))</f>
        <v>0</v>
      </c>
      <c r="B1223" s="716"/>
      <c r="C1223" s="716"/>
      <c r="D1223" s="716"/>
    </row>
    <row r="1224" spans="1:6">
      <c r="A1224" s="715">
        <f>IF(ster!$A$1=1,names!B1224,IF(ster!$A$1=2,names!C1224))</f>
        <v>0</v>
      </c>
      <c r="B1224" s="716"/>
      <c r="C1224" s="716" t="s">
        <v>1366</v>
      </c>
      <c r="D1224" s="716"/>
    </row>
    <row r="1225" spans="1:6">
      <c r="A1225" s="715" t="str">
        <f>IF(ster!$A$1=1,names!B1225,IF(ster!$A$1=2,names!C1225))</f>
        <v>Przychody ze sprzedaży</v>
      </c>
      <c r="B1225" s="716" t="s">
        <v>57</v>
      </c>
      <c r="C1225" s="716" t="s">
        <v>903</v>
      </c>
      <c r="D1225" s="716"/>
    </row>
    <row r="1226" spans="1:6">
      <c r="A1226" s="715" t="str">
        <f>IF(ster!$A$1=1,names!B1226,IF(ster!$A$1=2,names!C1226))</f>
        <v>Koszt własny sprzedaży</v>
      </c>
      <c r="B1226" s="716" t="s">
        <v>84</v>
      </c>
      <c r="C1226" s="716" t="s">
        <v>1067</v>
      </c>
      <c r="D1226" s="716"/>
    </row>
    <row r="1227" spans="1:6">
      <c r="A1227" s="715" t="str">
        <f>IF(ster!$A$1=1,names!B1227,IF(ster!$A$1=2,names!C1227))</f>
        <v>Zysk brutto ze sprzedaży</v>
      </c>
      <c r="B1227" s="716" t="s">
        <v>36</v>
      </c>
      <c r="C1227" s="716" t="s">
        <v>1367</v>
      </c>
      <c r="D1227" s="716"/>
    </row>
    <row r="1228" spans="1:6">
      <c r="A1228" s="715" t="str">
        <f>IF(ster!$A$1=1,names!B1228,IF(ster!$A$1=2,names!C1228))</f>
        <v>Koszty sprzedaży</v>
      </c>
      <c r="B1228" s="716" t="s">
        <v>37</v>
      </c>
      <c r="C1228" s="716" t="s">
        <v>1071</v>
      </c>
      <c r="D1228" s="716"/>
    </row>
    <row r="1229" spans="1:6">
      <c r="A1229" s="715" t="str">
        <f>IF(ster!$A$1=1,names!B1229,IF(ster!$A$1=2,names!C1229))</f>
        <v>Koszty ogólnego zarządu</v>
      </c>
      <c r="B1229" s="716" t="s">
        <v>38</v>
      </c>
      <c r="C1229" s="716" t="s">
        <v>1072</v>
      </c>
      <c r="D1229" s="716"/>
    </row>
    <row r="1230" spans="1:6">
      <c r="A1230" s="715" t="str">
        <f>IF(ster!$A$1=1,names!B1230,IF(ster!$A$1=2,names!C1230))</f>
        <v>Pozostałe przychody operacyjne</v>
      </c>
      <c r="B1230" s="716" t="s">
        <v>35</v>
      </c>
      <c r="C1230" s="716" t="s">
        <v>993</v>
      </c>
      <c r="D1230" s="716"/>
    </row>
    <row r="1231" spans="1:6">
      <c r="A1231" s="715" t="str">
        <f>IF(ster!$A$1=1,names!B1231,IF(ster!$A$1=2,names!C1231))</f>
        <v>Pozostałe koszty operacyjne</v>
      </c>
      <c r="B1231" s="716" t="s">
        <v>39</v>
      </c>
      <c r="C1231" s="716" t="s">
        <v>994</v>
      </c>
      <c r="D1231" s="716"/>
    </row>
    <row r="1232" spans="1:6" ht="32.25">
      <c r="A1232" s="715" t="str">
        <f>IF(ster!$A$1=1,names!B1232,IF(ster!$A$1=2,names!C1232))</f>
        <v>Udział w wyniku finansowym jednostek 
wycenianych metodą praw własności</v>
      </c>
      <c r="B1232" s="716" t="s">
        <v>140</v>
      </c>
      <c r="C1232" s="716" t="s">
        <v>1076</v>
      </c>
      <c r="D1232" s="716"/>
    </row>
    <row r="1233" spans="1:4">
      <c r="A1233" s="715" t="str">
        <f>IF(ster!$A$1=1,names!B1233,IF(ster!$A$1=2,names!C1233))</f>
        <v>Zysk/(Strata) z działalności operacyjnej</v>
      </c>
      <c r="B1233" s="716" t="s">
        <v>129</v>
      </c>
      <c r="C1233" s="716" t="s">
        <v>1002</v>
      </c>
      <c r="D1233" s="716"/>
    </row>
    <row r="1234" spans="1:4">
      <c r="A1234" s="715" t="str">
        <f>IF(ster!$A$1=1,names!B1234,IF(ster!$A$1=2,names!C1234))</f>
        <v>Przychody finansowe</v>
      </c>
      <c r="B1234" s="716" t="s">
        <v>40</v>
      </c>
      <c r="C1234" s="716" t="s">
        <v>1077</v>
      </c>
      <c r="D1234" s="716"/>
    </row>
    <row r="1235" spans="1:4">
      <c r="A1235" s="715" t="str">
        <f>IF(ster!$A$1=1,names!B1235,IF(ster!$A$1=2,names!C1235))</f>
        <v>Koszty finansowe</v>
      </c>
      <c r="B1235" s="716" t="s">
        <v>59</v>
      </c>
      <c r="C1235" s="716" t="s">
        <v>1078</v>
      </c>
      <c r="D1235" s="716"/>
    </row>
    <row r="1236" spans="1:4">
      <c r="A1236" s="715" t="str">
        <f>IF(ster!$A$1=1,names!B1236,IF(ster!$A$1=2,names!C1236))</f>
        <v>Przychody i koszty finansowe netto</v>
      </c>
      <c r="B1236" s="716" t="s">
        <v>41</v>
      </c>
      <c r="C1236" s="716" t="s">
        <v>1079</v>
      </c>
      <c r="D1236" s="716"/>
    </row>
    <row r="1237" spans="1:4">
      <c r="A1237" s="715" t="str">
        <f>IF(ster!$A$1=1,names!B1237,IF(ster!$A$1=2,names!C1237))</f>
        <v>Zysk/(Strata) przed opodatkowaniem</v>
      </c>
      <c r="B1237" s="716" t="s">
        <v>125</v>
      </c>
      <c r="C1237" s="716" t="s">
        <v>1081</v>
      </c>
      <c r="D1237" s="716"/>
    </row>
    <row r="1238" spans="1:4">
      <c r="A1238" s="715" t="str">
        <f>IF(ster!$A$1=1,names!B1238,IF(ster!$A$1=2,names!C1238))</f>
        <v>Podatek dochodowy</v>
      </c>
      <c r="B1238" s="716" t="s">
        <v>61</v>
      </c>
      <c r="C1238" s="716" t="s">
        <v>1082</v>
      </c>
      <c r="D1238" s="716"/>
    </row>
    <row r="1239" spans="1:4">
      <c r="A1239" s="715" t="str">
        <f>IF(ster!$A$1=1,names!B1239,IF(ster!$A$1=2,names!C1239))</f>
        <v>Zysk/(Strata) netto</v>
      </c>
      <c r="B1239" s="716" t="s">
        <v>126</v>
      </c>
      <c r="C1239" s="716" t="s">
        <v>1083</v>
      </c>
      <c r="D1239" s="716"/>
    </row>
    <row r="1240" spans="1:4">
      <c r="A1240" s="715">
        <f>IF(ster!$A$1=1,names!B1240,IF(ster!$A$1=2,names!C1240))</f>
        <v>0</v>
      </c>
      <c r="B1240" s="716"/>
      <c r="C1240" s="716"/>
      <c r="D1240" s="716"/>
    </row>
    <row r="1241" spans="1:4">
      <c r="A1241" s="715" t="str">
        <f>IF(ster!$A$1=1,names!B1241,IF(ster!$A$1=2,names!C1241))</f>
        <v>Składniki innych całkowitych dochodów:</v>
      </c>
      <c r="B1241" s="716" t="s">
        <v>321</v>
      </c>
      <c r="C1241" s="716" t="s">
        <v>1368</v>
      </c>
      <c r="D1241" s="716"/>
    </row>
    <row r="1242" spans="1:4">
      <c r="A1242" s="715" t="str">
        <f>IF(ster!$A$1=1,names!B1242,IF(ster!$A$1=2,names!C1242))</f>
        <v>które nie zostaną przeklasyfikowane na zyski lub straty</v>
      </c>
      <c r="B1242" s="716" t="s">
        <v>311</v>
      </c>
      <c r="C1242" s="716" t="s">
        <v>1369</v>
      </c>
      <c r="D1242" s="716"/>
    </row>
    <row r="1243" spans="1:4" ht="32.25">
      <c r="A1243" s="715" t="str">
        <f>IF(ster!$A$1=1,names!B1243,IF(ster!$A$1=2,names!C1243))</f>
        <v>wycena nieruchomości inwestycyjnej do wartości godziwej na moment przeklasyfikowania</v>
      </c>
      <c r="B1243" s="716" t="s">
        <v>287</v>
      </c>
      <c r="C1243" s="716" t="s">
        <v>1086</v>
      </c>
      <c r="D1243" s="716"/>
    </row>
    <row r="1244" spans="1:4">
      <c r="A1244" s="715" t="str">
        <f>IF(ster!$A$1=1,names!B1244,IF(ster!$A$1=2,names!C1244))</f>
        <v>zyski i straty aktuarialne</v>
      </c>
      <c r="B1244" s="716" t="s">
        <v>288</v>
      </c>
      <c r="C1244" s="716" t="s">
        <v>1087</v>
      </c>
      <c r="D1244" s="716"/>
    </row>
    <row r="1245" spans="1:4">
      <c r="A1245" s="715" t="str">
        <f>IF(ster!$A$1=1,names!B1245,IF(ster!$A$1=2,names!C1245))</f>
        <v>podatek odroczony</v>
      </c>
      <c r="B1245" s="716" t="s">
        <v>289</v>
      </c>
      <c r="C1245" s="716" t="s">
        <v>1089</v>
      </c>
      <c r="D1245" s="716"/>
    </row>
    <row r="1246" spans="1:4">
      <c r="A1246" s="715" t="str">
        <f>IF(ster!$A$1=1,names!B1246,IF(ster!$A$1=2,names!C1246))</f>
        <v>które zostały lub zostaną przeklasyfikowane na zyski lub straty</v>
      </c>
      <c r="B1246" s="716" t="s">
        <v>291</v>
      </c>
      <c r="C1246" s="716" t="s">
        <v>1370</v>
      </c>
      <c r="D1246" s="716"/>
    </row>
    <row r="1247" spans="1:4">
      <c r="A1247" s="715" t="str">
        <f>IF(ster!$A$1=1,names!B1247,IF(ster!$A$1=2,names!C1247))</f>
        <v>instrumenty zabezpieczające</v>
      </c>
      <c r="B1247" s="716" t="s">
        <v>290</v>
      </c>
      <c r="C1247" s="716" t="s">
        <v>1371</v>
      </c>
      <c r="D1247" s="716"/>
    </row>
    <row r="1248" spans="1:4">
      <c r="A1248" s="715" t="str">
        <f>IF(ster!$A$1=1,names!B1248,IF(ster!$A$1=2,names!C1248))</f>
        <v>różnice kursowe z przeliczenia jednostek działających za granicą</v>
      </c>
      <c r="B1248" s="716" t="s">
        <v>312</v>
      </c>
      <c r="C1248" s="716" t="s">
        <v>1093</v>
      </c>
      <c r="D1248" s="716"/>
    </row>
    <row r="1249" spans="1:6">
      <c r="A1249" s="715" t="str">
        <f>IF(ster!$A$1=1,names!B1249,IF(ster!$A$1=2,names!C1249))</f>
        <v>podatek odroczony</v>
      </c>
      <c r="B1249" s="716" t="s">
        <v>289</v>
      </c>
      <c r="C1249" s="716" t="s">
        <v>1089</v>
      </c>
      <c r="D1249" s="716"/>
    </row>
    <row r="1250" spans="1:6">
      <c r="A1250" s="715" t="str">
        <f>IF(ster!$A$1=1,names!B1250,IF(ster!$A$1=2,names!C1250))</f>
        <v>Suma składników innych całkowitych dochodów</v>
      </c>
      <c r="B1250" s="716" t="s">
        <v>58</v>
      </c>
      <c r="C1250" s="716" t="s">
        <v>1372</v>
      </c>
      <c r="D1250" s="716"/>
    </row>
    <row r="1251" spans="1:6">
      <c r="A1251" s="715" t="str">
        <f>IF(ster!$A$1=1,names!B1251,IF(ster!$A$1=2,names!C1251))</f>
        <v>Całkowite dochody netto</v>
      </c>
      <c r="B1251" s="716" t="s">
        <v>85</v>
      </c>
      <c r="C1251" s="716" t="s">
        <v>1095</v>
      </c>
      <c r="D1251" s="716"/>
    </row>
    <row r="1252" spans="1:6">
      <c r="A1252" s="715">
        <f>IF(ster!$A$1=1,names!B1252,IF(ster!$A$1=2,names!C1252))</f>
        <v>0</v>
      </c>
      <c r="B1252" s="716"/>
      <c r="C1252" s="716"/>
      <c r="D1252" s="716"/>
    </row>
    <row r="1253" spans="1:6">
      <c r="A1253" s="715" t="str">
        <f>IF(ster!$A$1=1,names!B1253,IF(ster!$A$1=2,names!C1253))</f>
        <v>Zysk/(Strata) netto przypadający na</v>
      </c>
      <c r="B1253" s="716" t="s">
        <v>130</v>
      </c>
      <c r="C1253" s="716" t="s">
        <v>1096</v>
      </c>
      <c r="D1253" s="716"/>
    </row>
    <row r="1254" spans="1:6">
      <c r="A1254" s="715" t="str">
        <f>IF(ster!$A$1=1,names!B1254,IF(ster!$A$1=2,names!C1254))</f>
        <v>akcjonariuszy jednostki dominującej</v>
      </c>
      <c r="B1254" s="716" t="s">
        <v>29</v>
      </c>
      <c r="C1254" s="716" t="s">
        <v>1097</v>
      </c>
      <c r="D1254" s="716"/>
    </row>
    <row r="1255" spans="1:6">
      <c r="A1255" s="715" t="str">
        <f>IF(ster!$A$1=1,names!B1255,IF(ster!$A$1=2,names!C1255))</f>
        <v>akcjonariuszy/udziałowców niekontrolujących</v>
      </c>
      <c r="B1255" s="716" t="s">
        <v>86</v>
      </c>
      <c r="C1255" s="716" t="s">
        <v>1098</v>
      </c>
      <c r="D1255" s="716"/>
    </row>
    <row r="1256" spans="1:6">
      <c r="A1256" s="715">
        <f>IF(ster!$A$1=1,names!B1256,IF(ster!$A$1=2,names!C1256))</f>
        <v>0</v>
      </c>
      <c r="B1256" s="716"/>
      <c r="C1256" s="716"/>
      <c r="D1256" s="716"/>
    </row>
    <row r="1257" spans="1:6">
      <c r="A1257" s="715" t="str">
        <f>IF(ster!$A$1=1,names!B1257,IF(ster!$A$1=2,names!C1257))</f>
        <v>Całkowite dochody netto przypadające na</v>
      </c>
      <c r="B1257" s="716" t="s">
        <v>128</v>
      </c>
      <c r="C1257" s="716" t="s">
        <v>1100</v>
      </c>
      <c r="D1257" s="716"/>
    </row>
    <row r="1258" spans="1:6">
      <c r="A1258" s="715" t="str">
        <f>IF(ster!$A$1=1,names!B1258,IF(ster!$A$1=2,names!C1258))</f>
        <v>akcjonariuszy jednostki dominującej</v>
      </c>
      <c r="B1258" s="716" t="s">
        <v>29</v>
      </c>
      <c r="C1258" s="716" t="s">
        <v>1097</v>
      </c>
      <c r="D1258" s="716"/>
    </row>
    <row r="1259" spans="1:6">
      <c r="A1259" s="715" t="str">
        <f>IF(ster!$A$1=1,names!B1259,IF(ster!$A$1=2,names!C1259))</f>
        <v>akcjonariuszy/udziałowców niekontrolujących</v>
      </c>
      <c r="B1259" s="716" t="s">
        <v>86</v>
      </c>
      <c r="C1259" s="716" t="s">
        <v>1098</v>
      </c>
      <c r="D1259" s="716"/>
    </row>
    <row r="1260" spans="1:6">
      <c r="A1260" s="715">
        <f>IF(ster!$A$1=1,names!B1260,IF(ster!$A$1=2,names!C1260))</f>
        <v>0</v>
      </c>
      <c r="B1260" s="716"/>
      <c r="C1260" s="716"/>
      <c r="D1260" s="716"/>
    </row>
    <row r="1261" spans="1:6" ht="48">
      <c r="A1261" s="715" t="str">
        <f>IF(ster!$A$1=1,names!B1261,IF(ster!$A$1=2,names!C1261))</f>
        <v>Zysk/(Strata) netto i rozwodniony zysk/(strata) netto na jedną akcję przypadający akcjonariuszom jednostki dominującej (w PLN na akcję)</v>
      </c>
      <c r="B1261" s="716" t="s">
        <v>131</v>
      </c>
      <c r="C1261" s="716" t="s">
        <v>1101</v>
      </c>
      <c r="D1261" s="716"/>
    </row>
    <row r="1262" spans="1:6" ht="63.75">
      <c r="A1262" s="715" t="str">
        <f>IF(ster!$A$1=1,names!B1262,IF(ster!$A$1=2,names!C1262))</f>
        <v>*) Dane przekształcone – zmiana metody konsolidacji spółek Basell ORLEN Polyolefines Sp. z o.o. i Płocki Park Przemysłowo-Technologiczny S.A. zgodnie z MSSF 11.</v>
      </c>
      <c r="B1262" s="716" t="s">
        <v>197</v>
      </c>
      <c r="C1262" s="716" t="s">
        <v>1027</v>
      </c>
      <c r="D1262" s="716"/>
    </row>
    <row r="1263" spans="1:6">
      <c r="A1263" s="715">
        <f>IF(ster!$A$1=1,names!B1263,IF(ster!$A$1=2,names!C1263))</f>
        <v>0</v>
      </c>
      <c r="B1263" s="716"/>
      <c r="C1263" s="716"/>
      <c r="D1263" s="716"/>
    </row>
    <row r="1264" spans="1:6" ht="32.25">
      <c r="A1264" s="715" t="str">
        <f>IF(ster!$A$1=1,names!B1264,IF(ster!$A$1=2,names!C1264))</f>
        <v>Skonsolidowane sprawozdanie z zysków lub strat i innych całkowitych dochodów</v>
      </c>
      <c r="B1264" s="717" t="s">
        <v>265</v>
      </c>
      <c r="C1264" s="716" t="s">
        <v>1064</v>
      </c>
      <c r="D1264" s="716"/>
      <c r="E1264" s="711" t="s">
        <v>1381</v>
      </c>
      <c r="F1264" s="711"/>
    </row>
    <row r="1265" spans="1:4">
      <c r="A1265" s="715">
        <f>IF(ster!$A$1=1,names!B1265,IF(ster!$A$1=2,names!C1265))</f>
        <v>0</v>
      </c>
      <c r="B1265" s="716"/>
      <c r="C1265" s="716"/>
      <c r="D1265" s="716"/>
    </row>
    <row r="1266" spans="1:4" ht="32.25">
      <c r="A1266" s="715" t="str">
        <f>IF(ster!$A$1=1,names!B1266,IF(ster!$A$1=2,names!C1266))</f>
        <v>Wyszczególnienie, 
mln PLN</v>
      </c>
      <c r="B1266" s="716" t="s">
        <v>161</v>
      </c>
      <c r="C1266" s="716" t="s">
        <v>948</v>
      </c>
      <c r="D1266" s="716"/>
    </row>
    <row r="1267" spans="1:4">
      <c r="A1267" s="715">
        <f>IF(ster!$A$1=1,names!B1267,IF(ster!$A$1=2,names!C1267))</f>
        <v>0</v>
      </c>
      <c r="B1267" s="716"/>
      <c r="C1267" s="716"/>
      <c r="D1267" s="716"/>
    </row>
    <row r="1268" spans="1:4">
      <c r="A1268" s="715" t="str">
        <f>IF(ster!$A$1=1,names!B1268,IF(ster!$A$1=2,names!C1268))</f>
        <v>Przychody ze sprzedaży</v>
      </c>
      <c r="B1268" s="716" t="s">
        <v>57</v>
      </c>
      <c r="C1268" s="716" t="s">
        <v>903</v>
      </c>
      <c r="D1268" s="716"/>
    </row>
    <row r="1269" spans="1:4">
      <c r="A1269" s="715" t="str">
        <f>IF(ster!$A$1=1,names!B1269,IF(ster!$A$1=2,names!C1269))</f>
        <v>przychody ze sprzedaży produktów i usług</v>
      </c>
      <c r="B1269" s="716" t="s">
        <v>332</v>
      </c>
      <c r="C1269" s="716" t="s">
        <v>1065</v>
      </c>
      <c r="D1269" s="716"/>
    </row>
    <row r="1270" spans="1:4">
      <c r="A1270" s="715" t="str">
        <f>IF(ster!$A$1=1,names!B1270,IF(ster!$A$1=2,names!C1270))</f>
        <v>przychody ze sprzedaży towarów i materiałów</v>
      </c>
      <c r="B1270" s="716" t="s">
        <v>333</v>
      </c>
      <c r="C1270" s="716" t="s">
        <v>1066</v>
      </c>
      <c r="D1270" s="716"/>
    </row>
    <row r="1271" spans="1:4">
      <c r="A1271" s="715" t="str">
        <f>IF(ster!$A$1=1,names!B1271,IF(ster!$A$1=2,names!C1271))</f>
        <v>Koszt własny sprzedaży</v>
      </c>
      <c r="B1271" s="716" t="s">
        <v>84</v>
      </c>
      <c r="C1271" s="716" t="s">
        <v>1067</v>
      </c>
      <c r="D1271" s="716"/>
    </row>
    <row r="1272" spans="1:4">
      <c r="A1272" s="715" t="str">
        <f>IF(ster!$A$1=1,names!B1272,IF(ster!$A$1=2,names!C1272))</f>
        <v>koszt wytworzenia sprzedanych produktów i usług</v>
      </c>
      <c r="B1272" s="716" t="s">
        <v>334</v>
      </c>
      <c r="C1272" s="716" t="s">
        <v>1068</v>
      </c>
      <c r="D1272" s="716"/>
    </row>
    <row r="1273" spans="1:4">
      <c r="A1273" s="715" t="str">
        <f>IF(ster!$A$1=1,names!B1273,IF(ster!$A$1=2,names!C1273))</f>
        <v>wartość sprzedanych towarów i materiałów</v>
      </c>
      <c r="B1273" s="716" t="s">
        <v>335</v>
      </c>
      <c r="C1273" s="716" t="s">
        <v>1069</v>
      </c>
      <c r="D1273" s="716"/>
    </row>
    <row r="1274" spans="1:4">
      <c r="A1274" s="715" t="str">
        <f>IF(ster!$A$1=1,names!B1274,IF(ster!$A$1=2,names!C1274))</f>
        <v>Zysk brutto ze sprzedaży</v>
      </c>
      <c r="B1274" s="716" t="s">
        <v>36</v>
      </c>
      <c r="C1274" s="716" t="s">
        <v>1367</v>
      </c>
      <c r="D1274" s="716"/>
    </row>
    <row r="1275" spans="1:4">
      <c r="A1275" s="715" t="str">
        <f>IF(ster!$A$1=1,names!B1275,IF(ster!$A$1=2,names!C1275))</f>
        <v>Koszty sprzedaży</v>
      </c>
      <c r="B1275" s="716" t="s">
        <v>37</v>
      </c>
      <c r="C1275" s="716" t="s">
        <v>1071</v>
      </c>
      <c r="D1275" s="716"/>
    </row>
    <row r="1276" spans="1:4">
      <c r="A1276" s="715" t="str">
        <f>IF(ster!$A$1=1,names!B1276,IF(ster!$A$1=2,names!C1276))</f>
        <v>Koszty ogólnego zarządu</v>
      </c>
      <c r="B1276" s="716" t="s">
        <v>38</v>
      </c>
      <c r="C1276" s="716" t="s">
        <v>1072</v>
      </c>
      <c r="D1276" s="716"/>
    </row>
    <row r="1277" spans="1:4">
      <c r="A1277" s="715" t="str">
        <f>IF(ster!$A$1=1,names!B1277,IF(ster!$A$1=2,names!C1277))</f>
        <v>Pozostałe przychody operacyjne</v>
      </c>
      <c r="B1277" s="716" t="s">
        <v>35</v>
      </c>
      <c r="C1277" s="716" t="s">
        <v>993</v>
      </c>
      <c r="D1277" s="716"/>
    </row>
    <row r="1278" spans="1:4">
      <c r="A1278" s="715" t="str">
        <f>IF(ster!$A$1=1,names!B1278,IF(ster!$A$1=2,names!C1278))</f>
        <v>Pozostałe koszty operacyjne</v>
      </c>
      <c r="B1278" s="716" t="s">
        <v>39</v>
      </c>
      <c r="C1278" s="716" t="s">
        <v>994</v>
      </c>
      <c r="D1278" s="716"/>
    </row>
    <row r="1279" spans="1:4" ht="32.25">
      <c r="A1279" s="715" t="str">
        <f>IF(ster!$A$1=1,names!B1279,IF(ster!$A$1=2,names!C1279))</f>
        <v>Strata/odwrócenie straty z tytułu utraty wartości instrumentów finansowych</v>
      </c>
      <c r="B1279" s="716" t="s">
        <v>344</v>
      </c>
      <c r="C1279" s="716" t="s">
        <v>1361</v>
      </c>
      <c r="D1279" s="716"/>
    </row>
    <row r="1280" spans="1:4" ht="32.25">
      <c r="A1280" s="715" t="str">
        <f>IF(ster!$A$1=1,names!B1280,IF(ster!$A$1=2,names!C1280))</f>
        <v>Udział w wyniku finansowym jednostek wycenianych metodą praw własności</v>
      </c>
      <c r="B1280" s="716" t="s">
        <v>24</v>
      </c>
      <c r="C1280" s="716" t="s">
        <v>1076</v>
      </c>
      <c r="D1280" s="716"/>
    </row>
    <row r="1281" spans="1:4">
      <c r="A1281" s="715" t="str">
        <f>IF(ster!$A$1=1,names!B1281,IF(ster!$A$1=2,names!C1281))</f>
        <v>Zysk/(Strata) z działalności operacyjnej</v>
      </c>
      <c r="B1281" s="716" t="s">
        <v>129</v>
      </c>
      <c r="C1281" s="716" t="s">
        <v>1373</v>
      </c>
      <c r="D1281" s="716"/>
    </row>
    <row r="1282" spans="1:4">
      <c r="A1282" s="715" t="str">
        <f>IF(ster!$A$1=1,names!B1282,IF(ster!$A$1=2,names!C1282))</f>
        <v>Przychody finansowe</v>
      </c>
      <c r="B1282" s="716" t="s">
        <v>40</v>
      </c>
      <c r="C1282" s="716" t="s">
        <v>1077</v>
      </c>
      <c r="D1282" s="716"/>
    </row>
    <row r="1283" spans="1:4">
      <c r="A1283" s="715" t="str">
        <f>IF(ster!$A$1=1,names!B1283,IF(ster!$A$1=2,names!C1283))</f>
        <v>Koszty finansowe</v>
      </c>
      <c r="B1283" s="716" t="s">
        <v>59</v>
      </c>
      <c r="C1283" s="716" t="s">
        <v>1078</v>
      </c>
      <c r="D1283" s="716"/>
    </row>
    <row r="1284" spans="1:4">
      <c r="A1284" s="715" t="str">
        <f>IF(ster!$A$1=1,names!B1284,IF(ster!$A$1=2,names!C1284))</f>
        <v>Przychody i koszty finansowe netto</v>
      </c>
      <c r="B1284" s="716" t="s">
        <v>41</v>
      </c>
      <c r="C1284" s="716" t="s">
        <v>1079</v>
      </c>
      <c r="D1284" s="716"/>
    </row>
    <row r="1285" spans="1:4" ht="32.25">
      <c r="A1285" s="715" t="str">
        <f>IF(ster!$A$1=1,names!B1285,IF(ster!$A$1=2,names!C1285))</f>
        <v>Strata/odwrócenie straty z tytułu utraty wartości instrumentów finansowych</v>
      </c>
      <c r="B1285" s="716" t="s">
        <v>344</v>
      </c>
      <c r="C1285" s="716" t="s">
        <v>1361</v>
      </c>
      <c r="D1285" s="716"/>
    </row>
    <row r="1286" spans="1:4">
      <c r="A1286" s="715" t="str">
        <f>IF(ster!$A$1=1,names!B1286,IF(ster!$A$1=2,names!C1286))</f>
        <v>Zysk/(Strata) przed opodatkowaniem</v>
      </c>
      <c r="B1286" s="716" t="s">
        <v>125</v>
      </c>
      <c r="C1286" s="716" t="s">
        <v>1374</v>
      </c>
      <c r="D1286" s="716"/>
    </row>
    <row r="1287" spans="1:4">
      <c r="A1287" s="715" t="str">
        <f>IF(ster!$A$1=1,names!B1287,IF(ster!$A$1=2,names!C1287))</f>
        <v>Podatek dochodowy</v>
      </c>
      <c r="B1287" s="716" t="s">
        <v>61</v>
      </c>
      <c r="C1287" s="716" t="s">
        <v>1082</v>
      </c>
      <c r="D1287" s="716"/>
    </row>
    <row r="1288" spans="1:4">
      <c r="A1288" s="715" t="str">
        <f>IF(ster!$A$1=1,names!B1288,IF(ster!$A$1=2,names!C1288))</f>
        <v>podatek dochodowy bieżący</v>
      </c>
      <c r="B1288" s="716" t="s">
        <v>336</v>
      </c>
      <c r="C1288" s="716" t="s">
        <v>1375</v>
      </c>
      <c r="D1288" s="716"/>
    </row>
    <row r="1289" spans="1:4">
      <c r="A1289" s="715" t="str">
        <f>IF(ster!$A$1=1,names!B1289,IF(ster!$A$1=2,names!C1289))</f>
        <v>podatek odroczony</v>
      </c>
      <c r="B1289" s="716" t="s">
        <v>289</v>
      </c>
      <c r="C1289" s="716" t="s">
        <v>1089</v>
      </c>
      <c r="D1289" s="716"/>
    </row>
    <row r="1290" spans="1:4">
      <c r="A1290" s="715" t="str">
        <f>IF(ster!$A$1=1,names!B1290,IF(ster!$A$1=2,names!C1290))</f>
        <v>Zysk/(Strata) netto</v>
      </c>
      <c r="B1290" s="716" t="s">
        <v>126</v>
      </c>
      <c r="C1290" s="716" t="s">
        <v>1376</v>
      </c>
      <c r="D1290" s="716"/>
    </row>
    <row r="1291" spans="1:4">
      <c r="A1291" s="715">
        <f>IF(ster!$A$1=1,names!B1291,IF(ster!$A$1=2,names!C1291))</f>
        <v>0</v>
      </c>
      <c r="B1291" s="716"/>
      <c r="C1291" s="716"/>
      <c r="D1291" s="716"/>
    </row>
    <row r="1292" spans="1:4">
      <c r="A1292" s="715" t="str">
        <f>IF(ster!$A$1=1,names!B1292,IF(ster!$A$1=2,names!C1292))</f>
        <v>Inne całkowite dochody:</v>
      </c>
      <c r="B1292" s="716" t="s">
        <v>337</v>
      </c>
      <c r="C1292" s="716" t="s">
        <v>1084</v>
      </c>
      <c r="D1292" s="716"/>
    </row>
    <row r="1293" spans="1:4" ht="32.25">
      <c r="A1293" s="715" t="str">
        <f>IF(ster!$A$1=1,names!B1293,IF(ster!$A$1=2,names!C1293))</f>
        <v>które nie zostaną następnie przeklasyfikowane na zyski lub straty</v>
      </c>
      <c r="B1293" s="716" t="s">
        <v>338</v>
      </c>
      <c r="C1293" s="716" t="s">
        <v>1085</v>
      </c>
      <c r="D1293" s="716"/>
    </row>
    <row r="1294" spans="1:4">
      <c r="A1294" s="715" t="str">
        <f>IF(ster!$A$1=1,names!B1294,IF(ster!$A$1=2,names!C1294))</f>
        <v>zyski i straty aktuarialne</v>
      </c>
      <c r="B1294" s="716" t="s">
        <v>288</v>
      </c>
      <c r="C1294" s="716" t="s">
        <v>1087</v>
      </c>
      <c r="D1294" s="716"/>
    </row>
    <row r="1295" spans="1:4" ht="32.25">
      <c r="A1295" s="715" t="str">
        <f>IF(ster!$A$1=1,names!B1295,IF(ster!$A$1=2,names!C1295))</f>
        <v>zyski/(straty) z tytułu inwestycji w instrumenty kapitałowe wyceniane w wartości godziwej przez inne całkowite dochody</v>
      </c>
      <c r="B1295" s="716" t="s">
        <v>339</v>
      </c>
      <c r="C1295" s="716" t="s">
        <v>1088</v>
      </c>
      <c r="D1295" s="716"/>
    </row>
    <row r="1296" spans="1:4">
      <c r="A1296" s="715" t="str">
        <f>IF(ster!$A$1=1,names!B1296,IF(ster!$A$1=2,names!C1296))</f>
        <v>podatek odroczony</v>
      </c>
      <c r="B1296" s="716" t="s">
        <v>289</v>
      </c>
      <c r="C1296" s="716" t="s">
        <v>1089</v>
      </c>
      <c r="D1296" s="716"/>
    </row>
    <row r="1297" spans="1:4">
      <c r="A1297" s="715" t="str">
        <f>IF(ster!$A$1=1,names!B1297,IF(ster!$A$1=2,names!C1297))</f>
        <v>które zostaną przeklasyfikowane na zyski lub straty</v>
      </c>
      <c r="B1297" s="716" t="s">
        <v>340</v>
      </c>
      <c r="C1297" s="716" t="s">
        <v>1090</v>
      </c>
      <c r="D1297" s="716"/>
    </row>
    <row r="1298" spans="1:4">
      <c r="A1298" s="715" t="str">
        <f>IF(ster!$A$1=1,names!B1298,IF(ster!$A$1=2,names!C1298))</f>
        <v>instrumenty zabezpieczające</v>
      </c>
      <c r="B1298" s="716" t="s">
        <v>290</v>
      </c>
      <c r="C1298" s="716" t="s">
        <v>1371</v>
      </c>
      <c r="D1298" s="716"/>
    </row>
    <row r="1299" spans="1:4">
      <c r="A1299" s="715" t="str">
        <f>IF(ster!$A$1=1,names!B1299,IF(ster!$A$1=2,names!C1299))</f>
        <v>koszty zabezpieczenia</v>
      </c>
      <c r="B1299" s="716" t="s">
        <v>350</v>
      </c>
      <c r="C1299" s="716" t="s">
        <v>1092</v>
      </c>
      <c r="D1299" s="716"/>
    </row>
    <row r="1300" spans="1:4">
      <c r="A1300" s="715" t="str">
        <f>IF(ster!$A$1=1,names!B1300,IF(ster!$A$1=2,names!C1300))</f>
        <v>różnice kursowe z przeliczenia jednostek działających za granicą</v>
      </c>
      <c r="B1300" s="716" t="s">
        <v>312</v>
      </c>
      <c r="C1300" s="716" t="s">
        <v>1093</v>
      </c>
      <c r="D1300" s="716"/>
    </row>
    <row r="1301" spans="1:4">
      <c r="A1301" s="715" t="str">
        <f>IF(ster!$A$1=1,names!B1301,IF(ster!$A$1=2,names!C1301))</f>
        <v>podatek odroczony</v>
      </c>
      <c r="B1301" s="716" t="s">
        <v>289</v>
      </c>
      <c r="C1301" s="716" t="s">
        <v>1089</v>
      </c>
      <c r="D1301" s="716"/>
    </row>
    <row r="1302" spans="1:4">
      <c r="A1302" s="715" t="str">
        <f>IF(ster!$A$1=1,names!B1302,IF(ster!$A$1=2,names!C1302))</f>
        <v>Całkowite dochody netto</v>
      </c>
      <c r="B1302" s="716" t="s">
        <v>85</v>
      </c>
      <c r="C1302" s="716" t="s">
        <v>1095</v>
      </c>
      <c r="D1302" s="716"/>
    </row>
    <row r="1303" spans="1:4">
      <c r="A1303" s="715">
        <f>IF(ster!$A$1=1,names!B1303,IF(ster!$A$1=2,names!C1303))</f>
        <v>0</v>
      </c>
      <c r="B1303" s="716"/>
      <c r="C1303" s="716"/>
      <c r="D1303" s="716"/>
    </row>
    <row r="1304" spans="1:4">
      <c r="A1304" s="715" t="str">
        <f>IF(ster!$A$1=1,names!B1304,IF(ster!$A$1=2,names!C1304))</f>
        <v>Zysk/(Strata) netto przypadający na</v>
      </c>
      <c r="B1304" s="716" t="s">
        <v>130</v>
      </c>
      <c r="C1304" s="716" t="s">
        <v>1377</v>
      </c>
      <c r="D1304" s="716"/>
    </row>
    <row r="1305" spans="1:4">
      <c r="A1305" s="715" t="str">
        <f>IF(ster!$A$1=1,names!B1305,IF(ster!$A$1=2,names!C1305))</f>
        <v>akcjonariuszy jednostki dominującej</v>
      </c>
      <c r="B1305" s="716" t="s">
        <v>29</v>
      </c>
      <c r="C1305" s="716" t="s">
        <v>1097</v>
      </c>
      <c r="D1305" s="716"/>
    </row>
    <row r="1306" spans="1:4">
      <c r="A1306" s="715" t="str">
        <f>IF(ster!$A$1=1,names!B1306,IF(ster!$A$1=2,names!C1306))</f>
        <v>akcjonariuszy/udziałowców niekontrolujących</v>
      </c>
      <c r="B1306" s="716" t="s">
        <v>86</v>
      </c>
      <c r="C1306" s="716" t="s">
        <v>1098</v>
      </c>
      <c r="D1306" s="716"/>
    </row>
    <row r="1307" spans="1:4">
      <c r="A1307" s="715">
        <f>IF(ster!$A$1=1,names!B1307,IF(ster!$A$1=2,names!C1307))</f>
        <v>0</v>
      </c>
      <c r="B1307" s="716"/>
      <c r="C1307" s="716"/>
      <c r="D1307" s="716"/>
    </row>
    <row r="1308" spans="1:4">
      <c r="A1308" s="715" t="str">
        <f>IF(ster!$A$1=1,names!B1308,IF(ster!$A$1=2,names!C1308))</f>
        <v>Całkowite dochody netto przypadające na</v>
      </c>
      <c r="B1308" s="716" t="s">
        <v>128</v>
      </c>
      <c r="C1308" s="716" t="s">
        <v>1100</v>
      </c>
      <c r="D1308" s="716"/>
    </row>
    <row r="1309" spans="1:4">
      <c r="A1309" s="715" t="str">
        <f>IF(ster!$A$1=1,names!B1309,IF(ster!$A$1=2,names!C1309))</f>
        <v>akcjonariuszy jednostki dominującej</v>
      </c>
      <c r="B1309" s="716" t="s">
        <v>29</v>
      </c>
      <c r="C1309" s="716" t="s">
        <v>1097</v>
      </c>
      <c r="D1309" s="716"/>
    </row>
    <row r="1310" spans="1:4">
      <c r="A1310" s="715" t="str">
        <f>IF(ster!$A$1=1,names!B1310,IF(ster!$A$1=2,names!C1310))</f>
        <v>akcjonariuszy/udziałowców niekontrolujących</v>
      </c>
      <c r="B1310" s="716" t="s">
        <v>86</v>
      </c>
      <c r="C1310" s="716" t="s">
        <v>1098</v>
      </c>
      <c r="D1310" s="716"/>
    </row>
    <row r="1311" spans="1:4">
      <c r="A1311" s="715">
        <f>IF(ster!$A$1=1,names!B1311,IF(ster!$A$1=2,names!C1311))</f>
        <v>0</v>
      </c>
      <c r="B1311" s="716"/>
      <c r="C1311" s="716"/>
      <c r="D1311" s="716"/>
    </row>
    <row r="1312" spans="1:4" ht="48">
      <c r="A1312" s="715" t="str">
        <f>IF(ster!$A$1=1,names!B1312,IF(ster!$A$1=2,names!C1312))</f>
        <v>Zysk/(Strata) netto i rozwodniony zysk/(strata) netto na jedną akcję przypadający akcjonariuszom jednostki dominującej (w PLN na akcję)</v>
      </c>
      <c r="B1312" s="716" t="s">
        <v>131</v>
      </c>
      <c r="C1312" s="716" t="s">
        <v>1378</v>
      </c>
      <c r="D1312" s="716"/>
    </row>
    <row r="1313" spans="1:5" ht="79.5">
      <c r="A1313" s="715" t="str">
        <f>IF(ster!$A$1=1,names!B1313,IF(ster!$A$1=2,names!C1313))</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B1313" s="716" t="s">
        <v>361</v>
      </c>
      <c r="C1313" s="716" t="s">
        <v>1379</v>
      </c>
      <c r="D1313" s="716"/>
    </row>
    <row r="1314" spans="1:5">
      <c r="A1314" s="715">
        <f>IF(ster!$A$1=1,names!B1314,IF(ster!$A$1=2,names!C1314))</f>
        <v>0</v>
      </c>
      <c r="B1314" s="716"/>
      <c r="C1314" s="716"/>
      <c r="D1314" s="716"/>
    </row>
    <row r="1315" spans="1:5">
      <c r="A1315" s="715" t="str">
        <f>IF(ster!$A$1=1,names!B1315,IF(ster!$A$1=2,names!C1315))</f>
        <v>Skonsolidowane sprawozdanie z sytuacji finansowej</v>
      </c>
      <c r="B1315" s="717" t="s">
        <v>266</v>
      </c>
      <c r="C1315" s="716" t="s">
        <v>1104</v>
      </c>
      <c r="D1315" s="716"/>
      <c r="E1315" s="709" t="s">
        <v>1382</v>
      </c>
    </row>
    <row r="1316" spans="1:5">
      <c r="A1316" s="715">
        <f>IF(ster!$A$1=1,names!B1316,IF(ster!$A$1=2,names!C1316))</f>
        <v>0</v>
      </c>
      <c r="B1316" s="716"/>
      <c r="C1316" s="716"/>
      <c r="D1316" s="716"/>
    </row>
    <row r="1317" spans="1:5" ht="32.25">
      <c r="A1317" s="715" t="str">
        <f>IF(ster!$A$1=1,names!B1317,IF(ster!$A$1=2,names!C1317))</f>
        <v>Wyszczególnienie, 
mln PLN</v>
      </c>
      <c r="B1317" s="716" t="s">
        <v>161</v>
      </c>
      <c r="C1317" s="716" t="s">
        <v>948</v>
      </c>
      <c r="D1317" s="716"/>
    </row>
    <row r="1318" spans="1:5">
      <c r="A1318" s="715">
        <f>IF(ster!$A$1=1,names!B1318,IF(ster!$A$1=2,names!C1318))</f>
        <v>0</v>
      </c>
      <c r="B1318" s="716"/>
      <c r="C1318" s="716"/>
      <c r="D1318" s="716"/>
    </row>
    <row r="1319" spans="1:5">
      <c r="A1319" s="715" t="str">
        <f>IF(ster!$A$1=1,names!B1319,IF(ster!$A$1=2,names!C1319))</f>
        <v>AKTYWA</v>
      </c>
      <c r="B1319" s="716" t="s">
        <v>62</v>
      </c>
      <c r="C1319" s="716" t="s">
        <v>1105</v>
      </c>
      <c r="D1319" s="716"/>
    </row>
    <row r="1320" spans="1:5">
      <c r="A1320" s="715" t="str">
        <f>IF(ster!$A$1=1,names!B1320,IF(ster!$A$1=2,names!C1320))</f>
        <v>Rzeczowe aktywa trwałe</v>
      </c>
      <c r="B1320" s="716" t="s">
        <v>63</v>
      </c>
      <c r="C1320" s="716" t="s">
        <v>1106</v>
      </c>
      <c r="D1320" s="716"/>
    </row>
    <row r="1321" spans="1:5">
      <c r="A1321" s="715" t="str">
        <f>IF(ster!$A$1=1,names!B1321,IF(ster!$A$1=2,names!C1321))</f>
        <v>Nieruchomości inwestycyjne</v>
      </c>
      <c r="B1321" s="716" t="s">
        <v>87</v>
      </c>
      <c r="C1321" s="716" t="s">
        <v>1383</v>
      </c>
      <c r="D1321" s="716"/>
    </row>
    <row r="1322" spans="1:5">
      <c r="A1322" s="715" t="str">
        <f>IF(ster!$A$1=1,names!B1322,IF(ster!$A$1=2,names!C1322))</f>
        <v>Wartości niematerialne</v>
      </c>
      <c r="B1322" s="716" t="s">
        <v>64</v>
      </c>
      <c r="C1322" s="716" t="s">
        <v>1384</v>
      </c>
      <c r="D1322" s="716"/>
    </row>
    <row r="1323" spans="1:5">
      <c r="A1323" s="715" t="str">
        <f>IF(ster!$A$1=1,names!B1323,IF(ster!$A$1=2,names!C1323))</f>
        <v>Prawa wieczystego użytkowania gruntów</v>
      </c>
      <c r="B1323" s="716" t="s">
        <v>104</v>
      </c>
      <c r="C1323" s="716" t="s">
        <v>1385</v>
      </c>
      <c r="D1323" s="716"/>
    </row>
    <row r="1324" spans="1:5">
      <c r="A1324" s="715" t="str">
        <f>IF(ster!$A$1=1,names!B1324,IF(ster!$A$1=2,names!C1324))</f>
        <v>Inwestycje wyceniane metodą praw własności</v>
      </c>
      <c r="B1324" s="716" t="s">
        <v>292</v>
      </c>
      <c r="C1324" s="716" t="s">
        <v>1386</v>
      </c>
      <c r="D1324" s="716"/>
    </row>
    <row r="1325" spans="1:5">
      <c r="A1325" s="715" t="str">
        <f>IF(ster!$A$1=1,names!B1325,IF(ster!$A$1=2,names!C1325))</f>
        <v>Aktywa finansowe dostępne do sprzedaży</v>
      </c>
      <c r="B1325" s="716" t="s">
        <v>0</v>
      </c>
      <c r="C1325" s="716" t="s">
        <v>1387</v>
      </c>
      <c r="D1325" s="716"/>
    </row>
    <row r="1326" spans="1:5">
      <c r="A1326" s="715" t="str">
        <f>IF(ster!$A$1=1,names!B1326,IF(ster!$A$1=2,names!C1326))</f>
        <v>Aktywa z tytułu podatku odroczonego</v>
      </c>
      <c r="B1326" s="716" t="s">
        <v>23</v>
      </c>
      <c r="C1326" s="716" t="s">
        <v>1110</v>
      </c>
      <c r="D1326" s="716"/>
    </row>
    <row r="1327" spans="1:5">
      <c r="A1327" s="715" t="str">
        <f>IF(ster!$A$1=1,names!B1327,IF(ster!$A$1=2,names!C1327))</f>
        <v>Pozostałe aktywa finansowe</v>
      </c>
      <c r="B1327" s="716" t="s">
        <v>17</v>
      </c>
      <c r="C1327" s="716" t="s">
        <v>1388</v>
      </c>
      <c r="D1327" s="716"/>
    </row>
    <row r="1328" spans="1:5">
      <c r="A1328" s="715" t="str">
        <f>IF(ster!$A$1=1,names!B1328,IF(ster!$A$1=2,names!C1328))</f>
        <v>Aktywa trwałe</v>
      </c>
      <c r="B1328" s="716" t="s">
        <v>103</v>
      </c>
      <c r="C1328" s="716" t="s">
        <v>1114</v>
      </c>
      <c r="D1328" s="716"/>
    </row>
    <row r="1329" spans="1:4">
      <c r="A1329" s="715" t="str">
        <f>IF(ster!$A$1=1,names!B1329,IF(ster!$A$1=2,names!C1329))</f>
        <v>Zapasy</v>
      </c>
      <c r="B1329" s="716" t="s">
        <v>66</v>
      </c>
      <c r="C1329" s="716" t="s">
        <v>1115</v>
      </c>
      <c r="D1329" s="716"/>
    </row>
    <row r="1330" spans="1:4">
      <c r="A1330" s="715" t="str">
        <f>IF(ster!$A$1=1,names!B1330,IF(ster!$A$1=2,names!C1330))</f>
        <v>Należności z tytułu dostaw i usług oraz pozostałe należności</v>
      </c>
      <c r="B1330" s="716" t="s">
        <v>42</v>
      </c>
      <c r="C1330" s="716" t="s">
        <v>1116</v>
      </c>
      <c r="D1330" s="716"/>
    </row>
    <row r="1331" spans="1:4">
      <c r="A1331" s="715" t="str">
        <f>IF(ster!$A$1=1,names!B1331,IF(ster!$A$1=2,names!C1331))</f>
        <v>Pozostałe aktywa finansowe</v>
      </c>
      <c r="B1331" s="716" t="s">
        <v>17</v>
      </c>
      <c r="C1331" s="716" t="s">
        <v>1388</v>
      </c>
      <c r="D1331" s="716"/>
    </row>
    <row r="1332" spans="1:4">
      <c r="A1332" s="715" t="str">
        <f>IF(ster!$A$1=1,names!B1332,IF(ster!$A$1=2,names!C1332))</f>
        <v>Należności z tytułu podatku dochodowego</v>
      </c>
      <c r="B1332" s="716" t="s">
        <v>43</v>
      </c>
      <c r="C1332" s="716" t="s">
        <v>1117</v>
      </c>
      <c r="D1332" s="716"/>
    </row>
    <row r="1333" spans="1:4">
      <c r="A1333" s="715" t="str">
        <f>IF(ster!$A$1=1,names!B1333,IF(ster!$A$1=2,names!C1333))</f>
        <v>Środki pieniężne i ich ekwiwalenty</v>
      </c>
      <c r="B1333" s="716" t="s">
        <v>105</v>
      </c>
      <c r="C1333" s="716" t="s">
        <v>1389</v>
      </c>
      <c r="D1333" s="716"/>
    </row>
    <row r="1334" spans="1:4">
      <c r="A1334" s="715" t="str">
        <f>IF(ster!$A$1=1,names!B1334,IF(ster!$A$1=2,names!C1334))</f>
        <v>Aktywa trwałe przeznaczone do sprzedaży</v>
      </c>
      <c r="B1334" s="716" t="s">
        <v>88</v>
      </c>
      <c r="C1334" s="716" t="s">
        <v>1390</v>
      </c>
      <c r="D1334" s="716"/>
    </row>
    <row r="1335" spans="1:4">
      <c r="A1335" s="715" t="str">
        <f>IF(ster!$A$1=1,names!B1335,IF(ster!$A$1=2,names!C1335))</f>
        <v>Aktywa obrotowe</v>
      </c>
      <c r="B1335" s="716" t="s">
        <v>65</v>
      </c>
      <c r="C1335" s="716" t="s">
        <v>1121</v>
      </c>
      <c r="D1335" s="716"/>
    </row>
    <row r="1336" spans="1:4">
      <c r="A1336" s="715" t="str">
        <f>IF(ster!$A$1=1,names!B1336,IF(ster!$A$1=2,names!C1336))</f>
        <v>Aktywa razem</v>
      </c>
      <c r="B1336" s="716" t="s">
        <v>67</v>
      </c>
      <c r="C1336" s="716" t="s">
        <v>924</v>
      </c>
      <c r="D1336" s="716"/>
    </row>
    <row r="1337" spans="1:4">
      <c r="A1337" s="715" t="str">
        <f>IF(ster!$A$1=1,names!B1337,IF(ster!$A$1=2,names!C1337))</f>
        <v>PASYWA</v>
      </c>
      <c r="B1337" s="716" t="s">
        <v>68</v>
      </c>
      <c r="C1337" s="716" t="s">
        <v>1122</v>
      </c>
      <c r="D1337" s="716"/>
    </row>
    <row r="1338" spans="1:4">
      <c r="A1338" s="715" t="str">
        <f>IF(ster!$A$1=1,names!B1338,IF(ster!$A$1=2,names!C1338))</f>
        <v>KAPITAŁ WŁASNY</v>
      </c>
      <c r="B1338" s="716" t="s">
        <v>106</v>
      </c>
      <c r="C1338" s="716" t="s">
        <v>1123</v>
      </c>
      <c r="D1338" s="716"/>
    </row>
    <row r="1339" spans="1:4">
      <c r="A1339" s="715" t="str">
        <f>IF(ster!$A$1=1,names!B1339,IF(ster!$A$1=2,names!C1339))</f>
        <v>Kapitał podstawowy</v>
      </c>
      <c r="B1339" s="716" t="s">
        <v>81</v>
      </c>
      <c r="C1339" s="716" t="s">
        <v>1124</v>
      </c>
      <c r="D1339" s="716"/>
    </row>
    <row r="1340" spans="1:4">
      <c r="A1340" s="715" t="str">
        <f>IF(ster!$A$1=1,names!B1340,IF(ster!$A$1=2,names!C1340))</f>
        <v>Kapitał z emisji akcji powyżej ich wartości nominalnej</v>
      </c>
      <c r="B1340" s="716" t="s">
        <v>69</v>
      </c>
      <c r="C1340" s="716" t="s">
        <v>1125</v>
      </c>
      <c r="D1340" s="716"/>
    </row>
    <row r="1341" spans="1:4">
      <c r="A1341" s="715" t="str">
        <f>IF(ster!$A$1=1,names!B1341,IF(ster!$A$1=2,names!C1341))</f>
        <v xml:space="preserve">Kapitał z tytułu stosowania rachunkowości zabezpieczeń </v>
      </c>
      <c r="B1341" s="716" t="s">
        <v>44</v>
      </c>
      <c r="C1341" s="716" t="s">
        <v>1126</v>
      </c>
      <c r="D1341" s="716"/>
    </row>
    <row r="1342" spans="1:4">
      <c r="A1342" s="715" t="str">
        <f>IF(ster!$A$1=1,names!B1342,IF(ster!$A$1=2,names!C1342))</f>
        <v>Kapitał z aktualizacji wyceny</v>
      </c>
      <c r="B1342" s="716" t="s">
        <v>60</v>
      </c>
      <c r="C1342" s="716" t="s">
        <v>1127</v>
      </c>
      <c r="D1342" s="716"/>
    </row>
    <row r="1343" spans="1:4" ht="32.25">
      <c r="A1343" s="715" t="str">
        <f>IF(ster!$A$1=1,names!B1343,IF(ster!$A$1=2,names!C1343))</f>
        <v>Różnice kursowe z przeliczenia jednostek podporządkowanych</v>
      </c>
      <c r="B1343" s="716" t="s">
        <v>72</v>
      </c>
      <c r="C1343" s="716" t="s">
        <v>1391</v>
      </c>
      <c r="D1343" s="716"/>
    </row>
    <row r="1344" spans="1:4">
      <c r="A1344" s="715" t="str">
        <f>IF(ster!$A$1=1,names!B1344,IF(ster!$A$1=2,names!C1344))</f>
        <v>Zyski zatrzymane</v>
      </c>
      <c r="B1344" s="716" t="s">
        <v>22</v>
      </c>
      <c r="C1344" s="716" t="s">
        <v>1129</v>
      </c>
      <c r="D1344" s="716"/>
    </row>
    <row r="1345" spans="1:4" ht="32.25">
      <c r="A1345" s="715" t="str">
        <f>IF(ster!$A$1=1,names!B1345,IF(ster!$A$1=2,names!C1345))</f>
        <v>Kapitał własny przypadający na akcjonariuszy jednostki dominującej</v>
      </c>
      <c r="B1345" s="716" t="s">
        <v>107</v>
      </c>
      <c r="C1345" s="716" t="s">
        <v>1392</v>
      </c>
      <c r="D1345" s="716"/>
    </row>
    <row r="1346" spans="1:4">
      <c r="A1346" s="715" t="str">
        <f>IF(ster!$A$1=1,names!B1346,IF(ster!$A$1=2,names!C1346))</f>
        <v>Kapitał własny przypadający udziałom niekontrolującym</v>
      </c>
      <c r="B1346" s="716" t="s">
        <v>82</v>
      </c>
      <c r="C1346" s="716" t="s">
        <v>1393</v>
      </c>
      <c r="D1346" s="716"/>
    </row>
    <row r="1347" spans="1:4">
      <c r="A1347" s="715" t="str">
        <f>IF(ster!$A$1=1,names!B1347,IF(ster!$A$1=2,names!C1347))</f>
        <v>Kapitał własny razem</v>
      </c>
      <c r="B1347" s="716" t="s">
        <v>73</v>
      </c>
      <c r="C1347" s="716" t="s">
        <v>1132</v>
      </c>
      <c r="D1347" s="716"/>
    </row>
    <row r="1348" spans="1:4">
      <c r="A1348" s="715" t="str">
        <f>IF(ster!$A$1=1,names!B1348,IF(ster!$A$1=2,names!C1348))</f>
        <v>ZOBOWIĄZANIA</v>
      </c>
      <c r="B1348" s="716" t="s">
        <v>108</v>
      </c>
      <c r="C1348" s="716" t="s">
        <v>1133</v>
      </c>
      <c r="D1348" s="716"/>
    </row>
    <row r="1349" spans="1:4">
      <c r="A1349" s="715" t="str">
        <f>IF(ster!$A$1=1,names!B1349,IF(ster!$A$1=2,names!C1349))</f>
        <v>Kredyty, pożyczki i obligacje</v>
      </c>
      <c r="B1349" s="716" t="s">
        <v>293</v>
      </c>
      <c r="C1349" s="716" t="s">
        <v>1134</v>
      </c>
      <c r="D1349" s="716"/>
    </row>
    <row r="1350" spans="1:4">
      <c r="A1350" s="715" t="str">
        <f>IF(ster!$A$1=1,names!B1350,IF(ster!$A$1=2,names!C1350))</f>
        <v xml:space="preserve">Rezerwy </v>
      </c>
      <c r="B1350" s="716" t="s">
        <v>45</v>
      </c>
      <c r="C1350" s="716" t="s">
        <v>1394</v>
      </c>
      <c r="D1350" s="716"/>
    </row>
    <row r="1351" spans="1:4">
      <c r="A1351" s="715" t="str">
        <f>IF(ster!$A$1=1,names!B1351,IF(ster!$A$1=2,names!C1351))</f>
        <v>Zobowiązania z tytułu podatku odroczonego</v>
      </c>
      <c r="B1351" s="716" t="s">
        <v>141</v>
      </c>
      <c r="C1351" s="716" t="s">
        <v>1136</v>
      </c>
      <c r="D1351" s="716"/>
    </row>
    <row r="1352" spans="1:4">
      <c r="A1352" s="715" t="str">
        <f>IF(ster!$A$1=1,names!B1352,IF(ster!$A$1=2,names!C1352))</f>
        <v>Przychody przyszłych okresów</v>
      </c>
      <c r="B1352" s="716" t="s">
        <v>77</v>
      </c>
      <c r="C1352" s="716" t="s">
        <v>1395</v>
      </c>
      <c r="D1352" s="716"/>
    </row>
    <row r="1353" spans="1:4">
      <c r="A1353" s="715" t="str">
        <f>IF(ster!$A$1=1,names!B1353,IF(ster!$A$1=2,names!C1353))</f>
        <v>Pozostałe zobowiązania finansowe</v>
      </c>
      <c r="B1353" s="716" t="s">
        <v>78</v>
      </c>
      <c r="C1353" s="716" t="s">
        <v>1396</v>
      </c>
      <c r="D1353" s="716"/>
    </row>
    <row r="1354" spans="1:4">
      <c r="A1354" s="715" t="str">
        <f>IF(ster!$A$1=1,names!B1354,IF(ster!$A$1=2,names!C1354))</f>
        <v>Zobowiązania długoterminowe</v>
      </c>
      <c r="B1354" s="716" t="s">
        <v>74</v>
      </c>
      <c r="C1354" s="716" t="s">
        <v>1140</v>
      </c>
      <c r="D1354" s="716"/>
    </row>
    <row r="1355" spans="1:4" ht="32.25">
      <c r="A1355" s="715" t="str">
        <f>IF(ster!$A$1=1,names!B1355,IF(ster!$A$1=2,names!C1355))</f>
        <v>Zobowiązania z tytułu dostaw i usług oraz pozostałe zobowiązania</v>
      </c>
      <c r="B1355" s="716" t="s">
        <v>83</v>
      </c>
      <c r="C1355" s="716" t="s">
        <v>1141</v>
      </c>
      <c r="D1355" s="716"/>
    </row>
    <row r="1356" spans="1:4">
      <c r="A1356" s="715" t="str">
        <f>IF(ster!$A$1=1,names!B1356,IF(ster!$A$1=2,names!C1356))</f>
        <v>Kredyty, pożyczki i dłużne papiery wartościowe</v>
      </c>
      <c r="B1356" s="716" t="s">
        <v>109</v>
      </c>
      <c r="C1356" s="716" t="s">
        <v>1397</v>
      </c>
      <c r="D1356" s="716"/>
    </row>
    <row r="1357" spans="1:4">
      <c r="A1357" s="715" t="str">
        <f>IF(ster!$A$1=1,names!B1357,IF(ster!$A$1=2,names!C1357))</f>
        <v>Podatek dochodowy</v>
      </c>
      <c r="B1357" s="716" t="s">
        <v>61</v>
      </c>
      <c r="C1357" s="716" t="s">
        <v>1142</v>
      </c>
      <c r="D1357" s="716"/>
    </row>
    <row r="1358" spans="1:4">
      <c r="A1358" s="715" t="str">
        <f>IF(ster!$A$1=1,names!B1358,IF(ster!$A$1=2,names!C1358))</f>
        <v>Rezerwy</v>
      </c>
      <c r="B1358" s="716" t="s">
        <v>75</v>
      </c>
      <c r="C1358" s="716" t="s">
        <v>1135</v>
      </c>
      <c r="D1358" s="716"/>
    </row>
    <row r="1359" spans="1:4">
      <c r="A1359" s="715" t="str">
        <f>IF(ster!$A$1=1,names!B1359,IF(ster!$A$1=2,names!C1359))</f>
        <v>Przychody przyszłych okresów</v>
      </c>
      <c r="B1359" s="716" t="s">
        <v>77</v>
      </c>
      <c r="C1359" s="716" t="s">
        <v>1395</v>
      </c>
      <c r="D1359" s="716"/>
    </row>
    <row r="1360" spans="1:4">
      <c r="A1360" s="715" t="str">
        <f>IF(ster!$A$1=1,names!B1360,IF(ster!$A$1=2,names!C1360))</f>
        <v>Pozostałe zobowiązania finansowe</v>
      </c>
      <c r="B1360" s="716" t="s">
        <v>78</v>
      </c>
      <c r="C1360" s="716" t="s">
        <v>1396</v>
      </c>
      <c r="D1360" s="716"/>
    </row>
    <row r="1361" spans="1:5" ht="32.25">
      <c r="A1361" s="715" t="str">
        <f>IF(ster!$A$1=1,names!B1361,IF(ster!$A$1=2,names!C1361))</f>
        <v>Zobowiązania bezpośrednio związane z aktywami zaklasyfikowanymi jako przeznaczone do sprzedaży</v>
      </c>
      <c r="B1361" s="716" t="s">
        <v>110</v>
      </c>
      <c r="C1361" s="716" t="s">
        <v>1398</v>
      </c>
      <c r="D1361" s="716"/>
    </row>
    <row r="1362" spans="1:5">
      <c r="A1362" s="715" t="str">
        <f>IF(ster!$A$1=1,names!B1362,IF(ster!$A$1=2,names!C1362))</f>
        <v>Zobowiązania krótkoterminowe</v>
      </c>
      <c r="B1362" s="716" t="s">
        <v>76</v>
      </c>
      <c r="C1362" s="716" t="s">
        <v>1143</v>
      </c>
      <c r="D1362" s="716"/>
    </row>
    <row r="1363" spans="1:5">
      <c r="A1363" s="715" t="str">
        <f>IF(ster!$A$1=1,names!B1363,IF(ster!$A$1=2,names!C1363))</f>
        <v>Zobowiązania razem</v>
      </c>
      <c r="B1363" s="716" t="s">
        <v>111</v>
      </c>
      <c r="C1363" s="716" t="s">
        <v>1144</v>
      </c>
      <c r="D1363" s="716"/>
    </row>
    <row r="1364" spans="1:5">
      <c r="A1364" s="715" t="str">
        <f>IF(ster!$A$1=1,names!B1364,IF(ster!$A$1=2,names!C1364))</f>
        <v>Pasywa razem</v>
      </c>
      <c r="B1364" s="716" t="s">
        <v>79</v>
      </c>
      <c r="C1364" s="716" t="s">
        <v>1145</v>
      </c>
      <c r="D1364" s="716"/>
    </row>
    <row r="1365" spans="1:5" ht="63.75">
      <c r="A1365" s="715" t="str">
        <f>IF(ster!$A$1=1,names!B1365,IF(ster!$A$1=2,names!C1365))</f>
        <v>*) Dane przekształcone – zmiana metody konsolidacji spółek Basell ORLEN Polyolefines Sp. z o.o. i Płocki Park Przemysłowo-Technologiczny S.A. zgodnie z MSSF 11.</v>
      </c>
      <c r="B1365" s="716" t="s">
        <v>197</v>
      </c>
      <c r="C1365" s="716" t="s">
        <v>1027</v>
      </c>
      <c r="D1365" s="716"/>
    </row>
    <row r="1366" spans="1:5">
      <c r="A1366" s="715">
        <f>IF(ster!$A$1=1,names!B1366,IF(ster!$A$1=2,names!C1366))</f>
        <v>0</v>
      </c>
      <c r="B1366" s="716"/>
      <c r="C1366" s="716"/>
      <c r="D1366" s="716"/>
    </row>
    <row r="1367" spans="1:5">
      <c r="A1367" s="715" t="str">
        <f>IF(ster!$A$1=1,names!B1367,IF(ster!$A$1=2,names!C1367))</f>
        <v>Skonsolidowane sprawozdanie z sytuacji finansowej</v>
      </c>
      <c r="B1367" s="717" t="s">
        <v>266</v>
      </c>
      <c r="C1367" s="716" t="s">
        <v>1104</v>
      </c>
      <c r="D1367" s="716"/>
      <c r="E1367" s="709" t="s">
        <v>1399</v>
      </c>
    </row>
    <row r="1368" spans="1:5">
      <c r="A1368" s="715">
        <f>IF(ster!$A$1=1,names!B1368,IF(ster!$A$1=2,names!C1368))</f>
        <v>0</v>
      </c>
      <c r="B1368" s="716"/>
      <c r="C1368" s="716"/>
      <c r="D1368" s="716"/>
    </row>
    <row r="1369" spans="1:5" ht="32.25">
      <c r="A1369" s="715" t="str">
        <f>IF(ster!$A$1=1,names!B1369,IF(ster!$A$1=2,names!C1369))</f>
        <v>Wyszczególnienie, 
mln PLN</v>
      </c>
      <c r="B1369" s="716" t="s">
        <v>161</v>
      </c>
      <c r="C1369" s="716" t="s">
        <v>948</v>
      </c>
      <c r="D1369" s="716"/>
    </row>
    <row r="1370" spans="1:5">
      <c r="A1370" s="715">
        <f>IF(ster!$A$1=1,names!B1370,IF(ster!$A$1=2,names!C1370))</f>
        <v>0</v>
      </c>
      <c r="B1370" s="716"/>
      <c r="C1370" s="716"/>
      <c r="D1370" s="716"/>
    </row>
    <row r="1371" spans="1:5">
      <c r="A1371" s="715" t="str">
        <f>IF(ster!$A$1=1,names!B1371,IF(ster!$A$1=2,names!C1371))</f>
        <v>AKTYWA</v>
      </c>
      <c r="B1371" s="716" t="s">
        <v>62</v>
      </c>
      <c r="C1371" s="716" t="s">
        <v>1105</v>
      </c>
      <c r="D1371" s="716"/>
    </row>
    <row r="1372" spans="1:5">
      <c r="A1372" s="715" t="str">
        <f>IF(ster!$A$1=1,names!B1372,IF(ster!$A$1=2,names!C1372))</f>
        <v>Rzeczowe aktywa trwałe</v>
      </c>
      <c r="B1372" s="716" t="s">
        <v>63</v>
      </c>
      <c r="C1372" s="716" t="s">
        <v>1106</v>
      </c>
      <c r="D1372" s="716"/>
    </row>
    <row r="1373" spans="1:5">
      <c r="A1373" s="715" t="str">
        <f>IF(ster!$A$1=1,names!B1373,IF(ster!$A$1=2,names!C1373))</f>
        <v>Wartości niematerialne</v>
      </c>
      <c r="B1373" s="716" t="s">
        <v>64</v>
      </c>
      <c r="C1373" s="716" t="s">
        <v>1384</v>
      </c>
      <c r="D1373" s="716"/>
    </row>
    <row r="1374" spans="1:5">
      <c r="A1374" s="715" t="str">
        <f>IF(ster!$A$1=1,names!B1374,IF(ster!$A$1=2,names!C1374))</f>
        <v>Inwestycje wyceniane metodą praw własności</v>
      </c>
      <c r="B1374" s="716" t="s">
        <v>292</v>
      </c>
      <c r="C1374" s="716" t="s">
        <v>1386</v>
      </c>
      <c r="D1374" s="716"/>
    </row>
    <row r="1375" spans="1:5">
      <c r="A1375" s="715" t="str">
        <f>IF(ster!$A$1=1,names!B1375,IF(ster!$A$1=2,names!C1375))</f>
        <v>Aktywa z tytułu podatku odroczonego</v>
      </c>
      <c r="B1375" s="716" t="s">
        <v>23</v>
      </c>
      <c r="C1375" s="716" t="s">
        <v>1110</v>
      </c>
      <c r="D1375" s="716"/>
    </row>
    <row r="1376" spans="1:5">
      <c r="A1376" s="715" t="str">
        <f>IF(ster!$A$1=1,names!B1376,IF(ster!$A$1=2,names!C1376))</f>
        <v>Pozostałe aktywa finansowe</v>
      </c>
      <c r="B1376" s="716" t="s">
        <v>17</v>
      </c>
      <c r="C1376" s="716" t="s">
        <v>1388</v>
      </c>
      <c r="D1376" s="716"/>
    </row>
    <row r="1377" spans="1:6">
      <c r="A1377" s="715" t="str">
        <f>IF(ster!$A$1=1,names!B1377,IF(ster!$A$1=2,names!C1377))</f>
        <v>Pozostałe aktywa</v>
      </c>
      <c r="B1377" s="716" t="s">
        <v>295</v>
      </c>
      <c r="C1377" s="716" t="s">
        <v>1113</v>
      </c>
      <c r="D1377" s="716"/>
    </row>
    <row r="1378" spans="1:6">
      <c r="A1378" s="715" t="str">
        <f>IF(ster!$A$1=1,names!B1378,IF(ster!$A$1=2,names!C1378))</f>
        <v>Aktywa trwałe</v>
      </c>
      <c r="B1378" s="716" t="s">
        <v>103</v>
      </c>
      <c r="C1378" s="716" t="s">
        <v>1114</v>
      </c>
      <c r="D1378" s="716"/>
    </row>
    <row r="1379" spans="1:6">
      <c r="A1379" s="715" t="str">
        <f>IF(ster!$A$1=1,names!B1379,IF(ster!$A$1=2,names!C1379))</f>
        <v>Zapasy</v>
      </c>
      <c r="B1379" s="716" t="s">
        <v>66</v>
      </c>
      <c r="C1379" s="716" t="s">
        <v>1115</v>
      </c>
      <c r="D1379" s="716"/>
    </row>
    <row r="1380" spans="1:6">
      <c r="A1380" s="715" t="str">
        <f>IF(ster!$A$1=1,names!B1380,IF(ster!$A$1=2,names!C1380))</f>
        <v>Należności z tytułu dostaw i usług oraz pozostałe należności</v>
      </c>
      <c r="B1380" s="716" t="s">
        <v>42</v>
      </c>
      <c r="C1380" s="716" t="s">
        <v>1116</v>
      </c>
      <c r="D1380" s="716"/>
    </row>
    <row r="1381" spans="1:6">
      <c r="A1381" s="715" t="str">
        <f>IF(ster!$A$1=1,names!B1381,IF(ster!$A$1=2,names!C1381))</f>
        <v>Pozostałe aktywa finansowe</v>
      </c>
      <c r="B1381" s="716" t="s">
        <v>17</v>
      </c>
      <c r="C1381" s="716" t="s">
        <v>1388</v>
      </c>
      <c r="D1381" s="716"/>
    </row>
    <row r="1382" spans="1:6">
      <c r="A1382" s="715" t="str">
        <f>IF(ster!$A$1=1,names!B1382,IF(ster!$A$1=2,names!C1382))</f>
        <v>Środki pieniężne i ich ekwiwalenty</v>
      </c>
      <c r="B1382" s="716" t="s">
        <v>105</v>
      </c>
      <c r="C1382" s="716" t="s">
        <v>1389</v>
      </c>
      <c r="D1382" s="716"/>
    </row>
    <row r="1383" spans="1:6">
      <c r="A1383" s="715" t="str">
        <f>IF(ster!$A$1=1,names!B1383,IF(ster!$A$1=2,names!C1383))</f>
        <v>Aktywa trwałe przeznaczone do sprzedaży</v>
      </c>
      <c r="B1383" s="716" t="s">
        <v>88</v>
      </c>
      <c r="C1383" s="716" t="s">
        <v>1390</v>
      </c>
      <c r="D1383" s="716"/>
    </row>
    <row r="1384" spans="1:6">
      <c r="A1384" s="715" t="str">
        <f>IF(ster!$A$1=1,names!B1384,IF(ster!$A$1=2,names!C1384))</f>
        <v>Aktywa obrotowe</v>
      </c>
      <c r="B1384" s="716" t="s">
        <v>65</v>
      </c>
      <c r="C1384" s="716" t="s">
        <v>1121</v>
      </c>
      <c r="D1384" s="716"/>
    </row>
    <row r="1385" spans="1:6">
      <c r="A1385" s="715" t="str">
        <f>IF(ster!$A$1=1,names!B1385,IF(ster!$A$1=2,names!C1385))</f>
        <v>Aktywa razem</v>
      </c>
      <c r="B1385" s="716" t="s">
        <v>67</v>
      </c>
      <c r="C1385" s="716" t="s">
        <v>924</v>
      </c>
      <c r="D1385" s="716"/>
    </row>
    <row r="1386" spans="1:6">
      <c r="A1386" s="715" t="str">
        <f>IF(ster!$A$1=1,names!B1386,IF(ster!$A$1=2,names!C1386))</f>
        <v>PASYWA</v>
      </c>
      <c r="B1386" s="716" t="s">
        <v>68</v>
      </c>
      <c r="C1386" s="716" t="s">
        <v>1122</v>
      </c>
      <c r="D1386" s="716"/>
    </row>
    <row r="1387" spans="1:6">
      <c r="A1387" s="715" t="str">
        <f>IF(ster!$A$1=1,names!B1387,IF(ster!$A$1=2,names!C1387))</f>
        <v>KAPITAŁ WŁASNY</v>
      </c>
      <c r="B1387" s="716" t="s">
        <v>106</v>
      </c>
      <c r="C1387" s="716" t="s">
        <v>1123</v>
      </c>
      <c r="D1387" s="716"/>
    </row>
    <row r="1388" spans="1:6">
      <c r="A1388" s="715" t="str">
        <f>IF(ster!$A$1=1,names!B1388,IF(ster!$A$1=2,names!C1388))</f>
        <v>Kapitał podstawowy</v>
      </c>
      <c r="B1388" s="716" t="s">
        <v>81</v>
      </c>
      <c r="C1388" s="716" t="s">
        <v>1124</v>
      </c>
      <c r="D1388" s="716"/>
    </row>
    <row r="1389" spans="1:6">
      <c r="A1389" s="715" t="str">
        <f>IF(ster!$A$1=1,names!B1389,IF(ster!$A$1=2,names!C1389))</f>
        <v>Kapitał z emisji akcji powyżej ich wartości nominalnej</v>
      </c>
      <c r="B1389" s="716" t="s">
        <v>69</v>
      </c>
      <c r="C1389" s="716" t="s">
        <v>1125</v>
      </c>
      <c r="D1389" s="716"/>
    </row>
    <row r="1390" spans="1:6">
      <c r="A1390" s="715" t="str">
        <f>IF(ster!$A$1=1,names!B1390,IF(ster!$A$1=2,names!C1390))</f>
        <v xml:space="preserve">Kapitał z tytułu stosowania rachunkowości zabezpieczeń </v>
      </c>
      <c r="B1390" s="716" t="s">
        <v>44</v>
      </c>
      <c r="C1390" s="716" t="s">
        <v>1126</v>
      </c>
      <c r="D1390" s="716"/>
    </row>
    <row r="1391" spans="1:6">
      <c r="A1391" s="715" t="str">
        <f>IF(ster!$A$1=1,names!B1391,IF(ster!$A$1=2,names!C1391))</f>
        <v>Kapitał z aktualizacji wyceny</v>
      </c>
      <c r="B1391" s="716" t="s">
        <v>60</v>
      </c>
      <c r="C1391" s="716" t="s">
        <v>1127</v>
      </c>
      <c r="D1391" s="716"/>
    </row>
    <row r="1392" spans="1:6" ht="31.5">
      <c r="A1392" s="715" t="str">
        <f>IF(ster!$A$1=1,names!B1392,IF(ster!$A$1=2,names!C1392))</f>
        <v>Różnice kursowe z przeliczenia jednostek podporządkowanych</v>
      </c>
      <c r="B1392" s="716" t="s">
        <v>72</v>
      </c>
      <c r="C1392" s="716" t="s">
        <v>1391</v>
      </c>
      <c r="D1392" s="716"/>
      <c r="E1392" s="712"/>
      <c r="F1392" s="712"/>
    </row>
    <row r="1393" spans="1:4">
      <c r="A1393" s="715" t="str">
        <f>IF(ster!$A$1=1,names!B1393,IF(ster!$A$1=2,names!C1393))</f>
        <v>Zyski zatrzymane</v>
      </c>
      <c r="B1393" s="716" t="s">
        <v>22</v>
      </c>
      <c r="C1393" s="716" t="s">
        <v>1129</v>
      </c>
      <c r="D1393" s="716"/>
    </row>
    <row r="1394" spans="1:4" ht="32.25">
      <c r="A1394" s="715" t="str">
        <f>IF(ster!$A$1=1,names!B1394,IF(ster!$A$1=2,names!C1394))</f>
        <v>Kapitał własny przypadający na akcjonariuszy jednostki dominującej</v>
      </c>
      <c r="B1394" s="716" t="s">
        <v>107</v>
      </c>
      <c r="C1394" s="716" t="s">
        <v>1400</v>
      </c>
      <c r="D1394" s="716"/>
    </row>
    <row r="1395" spans="1:4">
      <c r="A1395" s="715" t="str">
        <f>IF(ster!$A$1=1,names!B1395,IF(ster!$A$1=2,names!C1395))</f>
        <v>Kapitał własny przypadający udziałom niekontrolującym</v>
      </c>
      <c r="B1395" s="716" t="s">
        <v>82</v>
      </c>
      <c r="C1395" s="716" t="s">
        <v>1131</v>
      </c>
      <c r="D1395" s="716"/>
    </row>
    <row r="1396" spans="1:4">
      <c r="A1396" s="715" t="str">
        <f>IF(ster!$A$1=1,names!B1396,IF(ster!$A$1=2,names!C1396))</f>
        <v>Kapitał własny razem</v>
      </c>
      <c r="B1396" s="716" t="s">
        <v>73</v>
      </c>
      <c r="C1396" s="716" t="s">
        <v>1132</v>
      </c>
      <c r="D1396" s="716"/>
    </row>
    <row r="1397" spans="1:4">
      <c r="A1397" s="715" t="str">
        <f>IF(ster!$A$1=1,names!B1397,IF(ster!$A$1=2,names!C1397))</f>
        <v>ZOBOWIĄZANIA</v>
      </c>
      <c r="B1397" s="716" t="s">
        <v>108</v>
      </c>
      <c r="C1397" s="716" t="s">
        <v>1133</v>
      </c>
      <c r="D1397" s="716"/>
    </row>
    <row r="1398" spans="1:4">
      <c r="A1398" s="715" t="str">
        <f>IF(ster!$A$1=1,names!B1398,IF(ster!$A$1=2,names!C1398))</f>
        <v>Kredyty, pożyczki i obligacje</v>
      </c>
      <c r="B1398" s="716" t="s">
        <v>293</v>
      </c>
      <c r="C1398" s="716" t="s">
        <v>1134</v>
      </c>
      <c r="D1398" s="716"/>
    </row>
    <row r="1399" spans="1:4">
      <c r="A1399" s="715" t="str">
        <f>IF(ster!$A$1=1,names!B1399,IF(ster!$A$1=2,names!C1399))</f>
        <v xml:space="preserve">Rezerwy </v>
      </c>
      <c r="B1399" s="716" t="s">
        <v>45</v>
      </c>
      <c r="C1399" s="716" t="s">
        <v>1135</v>
      </c>
      <c r="D1399" s="716"/>
    </row>
    <row r="1400" spans="1:4">
      <c r="A1400" s="715" t="str">
        <f>IF(ster!$A$1=1,names!B1400,IF(ster!$A$1=2,names!C1400))</f>
        <v>Zobowiązania z tytułu podatku odroczonego</v>
      </c>
      <c r="B1400" s="716" t="s">
        <v>141</v>
      </c>
      <c r="C1400" s="716" t="s">
        <v>1136</v>
      </c>
      <c r="D1400" s="716"/>
    </row>
    <row r="1401" spans="1:4">
      <c r="A1401" s="715" t="str">
        <f>IF(ster!$A$1=1,names!B1401,IF(ster!$A$1=2,names!C1401))</f>
        <v>Pozostałe zobowiązania finansowe</v>
      </c>
      <c r="B1401" s="716" t="s">
        <v>78</v>
      </c>
      <c r="C1401" s="716" t="s">
        <v>1396</v>
      </c>
      <c r="D1401" s="716"/>
    </row>
    <row r="1402" spans="1:4">
      <c r="A1402" s="715" t="str">
        <f>IF(ster!$A$1=1,names!B1402,IF(ster!$A$1=2,names!C1402))</f>
        <v>Zobowiązania długoterminowe</v>
      </c>
      <c r="B1402" s="716" t="s">
        <v>74</v>
      </c>
      <c r="C1402" s="716" t="s">
        <v>1140</v>
      </c>
      <c r="D1402" s="716"/>
    </row>
    <row r="1403" spans="1:4" ht="32.25">
      <c r="A1403" s="715" t="str">
        <f>IF(ster!$A$1=1,names!B1403,IF(ster!$A$1=2,names!C1403))</f>
        <v>Zobowiązania z tytułu dostaw i usług oraz pozostałe zobowiązania</v>
      </c>
      <c r="B1403" s="716" t="s">
        <v>83</v>
      </c>
      <c r="C1403" s="716" t="s">
        <v>1141</v>
      </c>
      <c r="D1403" s="716"/>
    </row>
    <row r="1404" spans="1:4">
      <c r="A1404" s="715" t="str">
        <f>IF(ster!$A$1=1,names!B1404,IF(ster!$A$1=2,names!C1404))</f>
        <v>Kredyty i pożyczki</v>
      </c>
      <c r="B1404" s="716" t="s">
        <v>296</v>
      </c>
      <c r="C1404" s="716" t="s">
        <v>1397</v>
      </c>
      <c r="D1404" s="716"/>
    </row>
    <row r="1405" spans="1:4">
      <c r="A1405" s="715" t="str">
        <f>IF(ster!$A$1=1,names!B1405,IF(ster!$A$1=2,names!C1405))</f>
        <v>Rezerwy</v>
      </c>
      <c r="B1405" s="716" t="s">
        <v>75</v>
      </c>
      <c r="C1405" s="716" t="s">
        <v>1135</v>
      </c>
      <c r="D1405" s="716"/>
    </row>
    <row r="1406" spans="1:4">
      <c r="A1406" s="715" t="str">
        <f>IF(ster!$A$1=1,names!B1406,IF(ster!$A$1=2,names!C1406))</f>
        <v>Przychody przyszłych okresów</v>
      </c>
      <c r="B1406" s="716" t="s">
        <v>77</v>
      </c>
      <c r="C1406" s="716" t="s">
        <v>1395</v>
      </c>
      <c r="D1406" s="716"/>
    </row>
    <row r="1407" spans="1:4">
      <c r="A1407" s="715" t="str">
        <f>IF(ster!$A$1=1,names!B1407,IF(ster!$A$1=2,names!C1407))</f>
        <v>Pozostałe zobowiązania finansowe</v>
      </c>
      <c r="B1407" s="716" t="s">
        <v>78</v>
      </c>
      <c r="C1407" s="716" t="s">
        <v>1396</v>
      </c>
      <c r="D1407" s="716"/>
    </row>
    <row r="1408" spans="1:4" ht="32.25">
      <c r="A1408" s="715" t="str">
        <f>IF(ster!$A$1=1,names!B1408,IF(ster!$A$1=2,names!C1408))</f>
        <v>Zobowiązania bezpośrednio związane z aktywami zaklasyfikowanymi jako przeznaczone do sprzedaży</v>
      </c>
      <c r="B1408" s="716" t="s">
        <v>110</v>
      </c>
      <c r="C1408" s="716" t="s">
        <v>1401</v>
      </c>
      <c r="D1408" s="716"/>
    </row>
    <row r="1409" spans="1:5">
      <c r="A1409" s="715" t="str">
        <f>IF(ster!$A$1=1,names!B1409,IF(ster!$A$1=2,names!C1409))</f>
        <v>Zobowiązania krótkoterminowe</v>
      </c>
      <c r="B1409" s="716" t="s">
        <v>76</v>
      </c>
      <c r="C1409" s="716" t="s">
        <v>1143</v>
      </c>
      <c r="D1409" s="716"/>
    </row>
    <row r="1410" spans="1:5">
      <c r="A1410" s="715" t="str">
        <f>IF(ster!$A$1=1,names!B1410,IF(ster!$A$1=2,names!C1410))</f>
        <v>Zobowiązania razem</v>
      </c>
      <c r="B1410" s="716" t="s">
        <v>111</v>
      </c>
      <c r="C1410" s="716" t="s">
        <v>1144</v>
      </c>
      <c r="D1410" s="716"/>
    </row>
    <row r="1411" spans="1:5">
      <c r="A1411" s="715" t="str">
        <f>IF(ster!$A$1=1,names!B1411,IF(ster!$A$1=2,names!C1411))</f>
        <v>Pasywa razem</v>
      </c>
      <c r="B1411" s="716" t="s">
        <v>79</v>
      </c>
      <c r="C1411" s="716" t="s">
        <v>1145</v>
      </c>
      <c r="D1411" s="716"/>
    </row>
    <row r="1412" spans="1:5">
      <c r="A1412" s="715">
        <f>IF(ster!$A$1=1,names!B1412,IF(ster!$A$1=2,names!C1412))</f>
        <v>0</v>
      </c>
      <c r="B1412" s="716"/>
      <c r="C1412" s="716"/>
      <c r="D1412" s="716"/>
    </row>
    <row r="1413" spans="1:5">
      <c r="A1413" s="715" t="str">
        <f>IF(ster!$A$1=1,names!B1413,IF(ster!$A$1=2,names!C1413))</f>
        <v>Skonsolidowane sprawozdanie z sytuacji finansowej</v>
      </c>
      <c r="B1413" s="717" t="s">
        <v>266</v>
      </c>
      <c r="C1413" s="716" t="s">
        <v>1104</v>
      </c>
      <c r="D1413" s="716"/>
      <c r="E1413" s="709" t="s">
        <v>1402</v>
      </c>
    </row>
    <row r="1414" spans="1:5">
      <c r="A1414" s="715">
        <f>IF(ster!$A$1=1,names!B1414,IF(ster!$A$1=2,names!C1414))</f>
        <v>0</v>
      </c>
      <c r="B1414" s="716"/>
      <c r="C1414" s="716"/>
      <c r="D1414" s="716"/>
    </row>
    <row r="1415" spans="1:5" ht="32.25">
      <c r="A1415" s="715" t="str">
        <f>IF(ster!$A$1=1,names!B1415,IF(ster!$A$1=2,names!C1415))</f>
        <v>Wyszczególnienie, 
mln PLN</v>
      </c>
      <c r="B1415" s="716" t="s">
        <v>161</v>
      </c>
      <c r="C1415" s="716" t="s">
        <v>948</v>
      </c>
      <c r="D1415" s="716"/>
    </row>
    <row r="1416" spans="1:5">
      <c r="A1416" s="715">
        <f>IF(ster!$A$1=1,names!B1416,IF(ster!$A$1=2,names!C1416))</f>
        <v>0</v>
      </c>
      <c r="B1416" s="716"/>
      <c r="C1416" s="716"/>
      <c r="D1416" s="716"/>
    </row>
    <row r="1417" spans="1:5">
      <c r="A1417" s="715" t="str">
        <f>IF(ster!$A$1=1,names!B1417,IF(ster!$A$1=2,names!C1417))</f>
        <v>AKTYWA</v>
      </c>
      <c r="B1417" s="716" t="s">
        <v>62</v>
      </c>
      <c r="C1417" s="716" t="s">
        <v>1105</v>
      </c>
      <c r="D1417" s="716"/>
    </row>
    <row r="1418" spans="1:5">
      <c r="A1418" s="715" t="str">
        <f>IF(ster!$A$1=1,names!B1418,IF(ster!$A$1=2,names!C1418))</f>
        <v>Rzeczowe aktywa trwałe</v>
      </c>
      <c r="B1418" s="716" t="s">
        <v>63</v>
      </c>
      <c r="C1418" s="716" t="s">
        <v>1106</v>
      </c>
      <c r="D1418" s="716"/>
    </row>
    <row r="1419" spans="1:5">
      <c r="A1419" s="715" t="str">
        <f>IF(ster!$A$1=1,names!B1419,IF(ster!$A$1=2,names!C1419))</f>
        <v>Wartości niematerialne</v>
      </c>
      <c r="B1419" s="716" t="s">
        <v>64</v>
      </c>
      <c r="C1419" s="716" t="s">
        <v>1384</v>
      </c>
      <c r="D1419" s="716"/>
    </row>
    <row r="1420" spans="1:5">
      <c r="A1420" s="715" t="str">
        <f>IF(ster!$A$1=1,names!B1420,IF(ster!$A$1=2,names!C1420))</f>
        <v>Inwestycje wyceniane metodą praw własności</v>
      </c>
      <c r="B1420" s="716" t="s">
        <v>292</v>
      </c>
      <c r="C1420" s="716" t="s">
        <v>1386</v>
      </c>
      <c r="D1420" s="716"/>
    </row>
    <row r="1421" spans="1:5">
      <c r="A1421" s="715" t="str">
        <f>IF(ster!$A$1=1,names!B1421,IF(ster!$A$1=2,names!C1421))</f>
        <v>Aktywa z tytułu podatku odroczonego</v>
      </c>
      <c r="B1421" s="716" t="s">
        <v>23</v>
      </c>
      <c r="C1421" s="716" t="s">
        <v>1110</v>
      </c>
      <c r="D1421" s="716"/>
    </row>
    <row r="1422" spans="1:5">
      <c r="A1422" s="715" t="str">
        <f>IF(ster!$A$1=1,names!B1422,IF(ster!$A$1=2,names!C1422))</f>
        <v>Instrumenty pochodne</v>
      </c>
      <c r="B1422" s="716" t="s">
        <v>341</v>
      </c>
      <c r="C1422" s="716" t="s">
        <v>1111</v>
      </c>
      <c r="D1422" s="716"/>
    </row>
    <row r="1423" spans="1:5">
      <c r="A1423" s="715" t="str">
        <f>IF(ster!$A$1=1,names!B1423,IF(ster!$A$1=2,names!C1423))</f>
        <v>Pozostałe aktywa</v>
      </c>
      <c r="B1423" s="716" t="s">
        <v>295</v>
      </c>
      <c r="C1423" s="716" t="s">
        <v>1113</v>
      </c>
      <c r="D1423" s="716"/>
    </row>
    <row r="1424" spans="1:5">
      <c r="A1424" s="715" t="str">
        <f>IF(ster!$A$1=1,names!B1424,IF(ster!$A$1=2,names!C1424))</f>
        <v>Aktywa trwałe</v>
      </c>
      <c r="B1424" s="716" t="s">
        <v>103</v>
      </c>
      <c r="C1424" s="716" t="s">
        <v>1114</v>
      </c>
      <c r="D1424" s="716"/>
    </row>
    <row r="1425" spans="1:4">
      <c r="A1425" s="715" t="str">
        <f>IF(ster!$A$1=1,names!B1425,IF(ster!$A$1=2,names!C1425))</f>
        <v>Zapasy</v>
      </c>
      <c r="B1425" s="716" t="s">
        <v>66</v>
      </c>
      <c r="C1425" s="716" t="s">
        <v>1115</v>
      </c>
      <c r="D1425" s="716"/>
    </row>
    <row r="1426" spans="1:4">
      <c r="A1426" s="715" t="str">
        <f>IF(ster!$A$1=1,names!B1426,IF(ster!$A$1=2,names!C1426))</f>
        <v>Należności z tytułu dostaw i usług oraz pozostałe należności</v>
      </c>
      <c r="B1426" s="716" t="s">
        <v>42</v>
      </c>
      <c r="C1426" s="716" t="s">
        <v>1116</v>
      </c>
      <c r="D1426" s="716"/>
    </row>
    <row r="1427" spans="1:4">
      <c r="A1427" s="715" t="str">
        <f>IF(ster!$A$1=1,names!B1427,IF(ster!$A$1=2,names!C1427))</f>
        <v>Należności z tytułu podatku dochodowego</v>
      </c>
      <c r="B1427" s="716" t="s">
        <v>43</v>
      </c>
      <c r="C1427" s="716" t="s">
        <v>1117</v>
      </c>
      <c r="D1427" s="716"/>
    </row>
    <row r="1428" spans="1:4">
      <c r="A1428" s="715" t="str">
        <f>IF(ster!$A$1=1,names!B1428,IF(ster!$A$1=2,names!C1428))</f>
        <v>Środki pieniężne i ich ekwiwalenty</v>
      </c>
      <c r="B1428" s="716" t="s">
        <v>105</v>
      </c>
      <c r="C1428" s="716" t="s">
        <v>1389</v>
      </c>
      <c r="D1428" s="716"/>
    </row>
    <row r="1429" spans="1:4">
      <c r="A1429" s="715" t="str">
        <f>IF(ster!$A$1=1,names!B1429,IF(ster!$A$1=2,names!C1429))</f>
        <v>Aktywa trwałe przeznaczone do sprzedaży</v>
      </c>
      <c r="B1429" s="716" t="s">
        <v>88</v>
      </c>
      <c r="C1429" s="716" t="s">
        <v>1390</v>
      </c>
      <c r="D1429" s="716"/>
    </row>
    <row r="1430" spans="1:4">
      <c r="A1430" s="715" t="str">
        <f>IF(ster!$A$1=1,names!B1430,IF(ster!$A$1=2,names!C1430))</f>
        <v>Instrumenty pochodne</v>
      </c>
      <c r="B1430" s="716" t="s">
        <v>341</v>
      </c>
      <c r="C1430" s="716" t="s">
        <v>1111</v>
      </c>
      <c r="D1430" s="716"/>
    </row>
    <row r="1431" spans="1:4">
      <c r="A1431" s="715" t="str">
        <f>IF(ster!$A$1=1,names!B1431,IF(ster!$A$1=2,names!C1431))</f>
        <v>Pozostałe aktywa</v>
      </c>
      <c r="B1431" s="716" t="s">
        <v>295</v>
      </c>
      <c r="C1431" s="716" t="s">
        <v>1113</v>
      </c>
      <c r="D1431" s="716"/>
    </row>
    <row r="1432" spans="1:4">
      <c r="A1432" s="715" t="str">
        <f>IF(ster!$A$1=1,names!B1432,IF(ster!$A$1=2,names!C1432))</f>
        <v>Aktywa obrotowe</v>
      </c>
      <c r="B1432" s="716" t="s">
        <v>65</v>
      </c>
      <c r="C1432" s="716" t="s">
        <v>1121</v>
      </c>
      <c r="D1432" s="716"/>
    </row>
    <row r="1433" spans="1:4">
      <c r="A1433" s="715" t="str">
        <f>IF(ster!$A$1=1,names!B1433,IF(ster!$A$1=2,names!C1433))</f>
        <v>Aktywa razem</v>
      </c>
      <c r="B1433" s="716" t="s">
        <v>67</v>
      </c>
      <c r="C1433" s="716" t="s">
        <v>924</v>
      </c>
      <c r="D1433" s="716"/>
    </row>
    <row r="1434" spans="1:4">
      <c r="A1434" s="715" t="str">
        <f>IF(ster!$A$1=1,names!B1434,IF(ster!$A$1=2,names!C1434))</f>
        <v>PASYWA</v>
      </c>
      <c r="B1434" s="716" t="s">
        <v>68</v>
      </c>
      <c r="C1434" s="716" t="s">
        <v>1122</v>
      </c>
      <c r="D1434" s="716"/>
    </row>
    <row r="1435" spans="1:4">
      <c r="A1435" s="715" t="str">
        <f>IF(ster!$A$1=1,names!B1435,IF(ster!$A$1=2,names!C1435))</f>
        <v>KAPITAŁ WŁASNY</v>
      </c>
      <c r="B1435" s="716" t="s">
        <v>106</v>
      </c>
      <c r="C1435" s="716" t="s">
        <v>1123</v>
      </c>
      <c r="D1435" s="716"/>
    </row>
    <row r="1436" spans="1:4">
      <c r="A1436" s="715" t="str">
        <f>IF(ster!$A$1=1,names!B1436,IF(ster!$A$1=2,names!C1436))</f>
        <v>Kapitał podstawowy</v>
      </c>
      <c r="B1436" s="716" t="s">
        <v>81</v>
      </c>
      <c r="C1436" s="716" t="s">
        <v>1124</v>
      </c>
      <c r="D1436" s="716"/>
    </row>
    <row r="1437" spans="1:4">
      <c r="A1437" s="715" t="str">
        <f>IF(ster!$A$1=1,names!B1437,IF(ster!$A$1=2,names!C1437))</f>
        <v>Kapitał z emisji akcji powyżej ich wartości nominalnej</v>
      </c>
      <c r="B1437" s="716" t="s">
        <v>69</v>
      </c>
      <c r="C1437" s="716" t="s">
        <v>1125</v>
      </c>
      <c r="D1437" s="716"/>
    </row>
    <row r="1438" spans="1:4">
      <c r="A1438" s="715" t="str">
        <f>IF(ster!$A$1=1,names!B1438,IF(ster!$A$1=2,names!C1438))</f>
        <v xml:space="preserve">Kapitał z tytułu stosowania rachunkowości zabezpieczeń </v>
      </c>
      <c r="B1438" s="716" t="s">
        <v>44</v>
      </c>
      <c r="C1438" s="716" t="s">
        <v>1126</v>
      </c>
      <c r="D1438" s="716"/>
    </row>
    <row r="1439" spans="1:4">
      <c r="A1439" s="715" t="str">
        <f>IF(ster!$A$1=1,names!B1439,IF(ster!$A$1=2,names!C1439))</f>
        <v>Kapitał z aktualizacji wyceny</v>
      </c>
      <c r="B1439" s="716" t="s">
        <v>60</v>
      </c>
      <c r="C1439" s="716" t="s">
        <v>1127</v>
      </c>
      <c r="D1439" s="716"/>
    </row>
    <row r="1440" spans="1:4">
      <c r="A1440" s="715" t="str">
        <f>IF(ster!$A$1=1,names!B1440,IF(ster!$A$1=2,names!C1440))</f>
        <v>Różnice kursowe z przeliczenia jednostek działających za granicą</v>
      </c>
      <c r="B1440" s="716" t="s">
        <v>313</v>
      </c>
      <c r="C1440" s="716" t="s">
        <v>1128</v>
      </c>
      <c r="D1440" s="716"/>
    </row>
    <row r="1441" spans="1:4">
      <c r="A1441" s="715" t="str">
        <f>IF(ster!$A$1=1,names!B1441,IF(ster!$A$1=2,names!C1441))</f>
        <v>Zyski zatrzymane</v>
      </c>
      <c r="B1441" s="716" t="s">
        <v>22</v>
      </c>
      <c r="C1441" s="716" t="s">
        <v>1129</v>
      </c>
      <c r="D1441" s="716"/>
    </row>
    <row r="1442" spans="1:4" ht="32.25">
      <c r="A1442" s="715" t="str">
        <f>IF(ster!$A$1=1,names!B1442,IF(ster!$A$1=2,names!C1442))</f>
        <v>Kapitał własny przypadający na akcjonariuszy jednostki dominującej</v>
      </c>
      <c r="B1442" s="716" t="s">
        <v>107</v>
      </c>
      <c r="C1442" s="716" t="s">
        <v>1130</v>
      </c>
      <c r="D1442" s="716"/>
    </row>
    <row r="1443" spans="1:4">
      <c r="A1443" s="715" t="str">
        <f>IF(ster!$A$1=1,names!B1443,IF(ster!$A$1=2,names!C1443))</f>
        <v>Kapitał własny przypadający udziałom niekontrolującym</v>
      </c>
      <c r="B1443" s="716" t="s">
        <v>82</v>
      </c>
      <c r="C1443" s="716" t="s">
        <v>1131</v>
      </c>
      <c r="D1443" s="716"/>
    </row>
    <row r="1444" spans="1:4">
      <c r="A1444" s="715" t="str">
        <f>IF(ster!$A$1=1,names!B1444,IF(ster!$A$1=2,names!C1444))</f>
        <v>Kapitał własny razem</v>
      </c>
      <c r="B1444" s="716" t="s">
        <v>73</v>
      </c>
      <c r="C1444" s="716" t="s">
        <v>1132</v>
      </c>
      <c r="D1444" s="716"/>
    </row>
    <row r="1445" spans="1:4">
      <c r="A1445" s="715" t="str">
        <f>IF(ster!$A$1=1,names!B1445,IF(ster!$A$1=2,names!C1445))</f>
        <v>ZOBOWIĄZANIA</v>
      </c>
      <c r="B1445" s="716" t="s">
        <v>108</v>
      </c>
      <c r="C1445" s="716" t="s">
        <v>1133</v>
      </c>
      <c r="D1445" s="716"/>
    </row>
    <row r="1446" spans="1:4">
      <c r="A1446" s="715" t="str">
        <f>IF(ster!$A$1=1,names!B1446,IF(ster!$A$1=2,names!C1446))</f>
        <v>Kredyty, pożyczki i obligacje</v>
      </c>
      <c r="B1446" s="716" t="s">
        <v>293</v>
      </c>
      <c r="C1446" s="716" t="s">
        <v>1134</v>
      </c>
      <c r="D1446" s="716"/>
    </row>
    <row r="1447" spans="1:4">
      <c r="A1447" s="715" t="str">
        <f>IF(ster!$A$1=1,names!B1447,IF(ster!$A$1=2,names!C1447))</f>
        <v xml:space="preserve">Rezerwy </v>
      </c>
      <c r="B1447" s="716" t="s">
        <v>45</v>
      </c>
      <c r="C1447" s="716" t="s">
        <v>1135</v>
      </c>
      <c r="D1447" s="716"/>
    </row>
    <row r="1448" spans="1:4">
      <c r="A1448" s="715" t="str">
        <f>IF(ster!$A$1=1,names!B1448,IF(ster!$A$1=2,names!C1448))</f>
        <v>Zobowiązania z tytułu podatku odroczonego</v>
      </c>
      <c r="B1448" s="716" t="s">
        <v>141</v>
      </c>
      <c r="C1448" s="716" t="s">
        <v>1136</v>
      </c>
      <c r="D1448" s="716"/>
    </row>
    <row r="1449" spans="1:4">
      <c r="A1449" s="715" t="str">
        <f>IF(ster!$A$1=1,names!B1449,IF(ster!$A$1=2,names!C1449))</f>
        <v>Instrumenty pochodne</v>
      </c>
      <c r="B1449" s="716" t="s">
        <v>341</v>
      </c>
      <c r="C1449" s="716" t="s">
        <v>1403</v>
      </c>
      <c r="D1449" s="716"/>
    </row>
    <row r="1450" spans="1:4">
      <c r="A1450" s="715" t="str">
        <f>IF(ster!$A$1=1,names!B1450,IF(ster!$A$1=2,names!C1450))</f>
        <v>Pozostałe zobowiązania</v>
      </c>
      <c r="B1450" s="716" t="s">
        <v>314</v>
      </c>
      <c r="C1450" s="716" t="s">
        <v>1138</v>
      </c>
      <c r="D1450" s="716"/>
    </row>
    <row r="1451" spans="1:4">
      <c r="A1451" s="715" t="str">
        <f>IF(ster!$A$1=1,names!B1451,IF(ster!$A$1=2,names!C1451))</f>
        <v>Zobowiązania długoterminowe</v>
      </c>
      <c r="B1451" s="716" t="s">
        <v>74</v>
      </c>
      <c r="C1451" s="716" t="s">
        <v>1140</v>
      </c>
      <c r="D1451" s="716"/>
    </row>
    <row r="1452" spans="1:4" ht="32.25">
      <c r="A1452" s="715" t="str">
        <f>IF(ster!$A$1=1,names!B1452,IF(ster!$A$1=2,names!C1452))</f>
        <v>Zobowiązania z tytułu dostaw i usług oraz pozostałe zobowiązania</v>
      </c>
      <c r="B1452" s="716" t="s">
        <v>83</v>
      </c>
      <c r="C1452" s="716" t="s">
        <v>1141</v>
      </c>
      <c r="D1452" s="716"/>
    </row>
    <row r="1453" spans="1:4">
      <c r="A1453" s="715" t="str">
        <f>IF(ster!$A$1=1,names!B1453,IF(ster!$A$1=2,names!C1453))</f>
        <v>Zobowiązania z tytułu umów z klientami</v>
      </c>
      <c r="B1453" s="716" t="s">
        <v>342</v>
      </c>
      <c r="C1453" s="716" t="s">
        <v>1139</v>
      </c>
      <c r="D1453" s="716"/>
    </row>
    <row r="1454" spans="1:4">
      <c r="A1454" s="715" t="str">
        <f>IF(ster!$A$1=1,names!B1454,IF(ster!$A$1=2,names!C1454))</f>
        <v>Kredyty, pożyczki i obligacje</v>
      </c>
      <c r="B1454" s="716" t="s">
        <v>293</v>
      </c>
      <c r="C1454" s="716" t="s">
        <v>1404</v>
      </c>
      <c r="D1454" s="716"/>
    </row>
    <row r="1455" spans="1:4">
      <c r="A1455" s="715" t="str">
        <f>IF(ster!$A$1=1,names!B1455,IF(ster!$A$1=2,names!C1455))</f>
        <v>Rezerwy</v>
      </c>
      <c r="B1455" s="716" t="s">
        <v>75</v>
      </c>
      <c r="C1455" s="716" t="s">
        <v>1135</v>
      </c>
      <c r="D1455" s="716"/>
    </row>
    <row r="1456" spans="1:4">
      <c r="A1456" s="715" t="str">
        <f>IF(ster!$A$1=1,names!B1456,IF(ster!$A$1=2,names!C1456))</f>
        <v>Zobowiązania z tytułu podatku dochodowego</v>
      </c>
      <c r="B1456" s="716" t="s">
        <v>315</v>
      </c>
      <c r="C1456" s="716" t="s">
        <v>1142</v>
      </c>
      <c r="D1456" s="716"/>
    </row>
    <row r="1457" spans="1:6">
      <c r="A1457" s="715" t="str">
        <f>IF(ster!$A$1=1,names!B1457,IF(ster!$A$1=2,names!C1457))</f>
        <v>Instrumenty pochodne</v>
      </c>
      <c r="B1457" s="716" t="s">
        <v>341</v>
      </c>
      <c r="C1457" s="716" t="s">
        <v>1111</v>
      </c>
      <c r="D1457" s="716"/>
    </row>
    <row r="1458" spans="1:6">
      <c r="A1458" s="715" t="str">
        <f>IF(ster!$A$1=1,names!B1458,IF(ster!$A$1=2,names!C1458))</f>
        <v>Pozostałe zobowiązania</v>
      </c>
      <c r="B1458" s="716" t="s">
        <v>314</v>
      </c>
      <c r="C1458" s="716" t="s">
        <v>1138</v>
      </c>
      <c r="D1458" s="716"/>
    </row>
    <row r="1459" spans="1:6">
      <c r="A1459" s="715" t="str">
        <f>IF(ster!$A$1=1,names!B1459,IF(ster!$A$1=2,names!C1459))</f>
        <v>Zobowiązania krótkoterminowe</v>
      </c>
      <c r="B1459" s="716" t="s">
        <v>76</v>
      </c>
      <c r="C1459" s="716" t="s">
        <v>1143</v>
      </c>
      <c r="D1459" s="716"/>
    </row>
    <row r="1460" spans="1:6">
      <c r="A1460" s="715" t="str">
        <f>IF(ster!$A$1=1,names!B1460,IF(ster!$A$1=2,names!C1460))</f>
        <v>Zobowiązania razem</v>
      </c>
      <c r="B1460" s="716" t="s">
        <v>111</v>
      </c>
      <c r="C1460" s="716" t="s">
        <v>1144</v>
      </c>
      <c r="D1460" s="716"/>
    </row>
    <row r="1461" spans="1:6">
      <c r="A1461" s="715" t="str">
        <f>IF(ster!$A$1=1,names!B1461,IF(ster!$A$1=2,names!C1461))</f>
        <v>Pasywa razem</v>
      </c>
      <c r="B1461" s="716" t="s">
        <v>79</v>
      </c>
      <c r="C1461" s="716" t="s">
        <v>1145</v>
      </c>
      <c r="D1461" s="716"/>
    </row>
    <row r="1462" spans="1:6">
      <c r="A1462" s="715">
        <f>IF(ster!$A$1=1,names!B1462,IF(ster!$A$1=2,names!C1462))</f>
        <v>0</v>
      </c>
      <c r="B1462" s="716"/>
      <c r="C1462" s="716"/>
      <c r="D1462" s="716"/>
    </row>
    <row r="1463" spans="1:6">
      <c r="A1463" s="715" t="str">
        <f>IF(ster!$A$1=1,names!B1463,IF(ster!$A$1=2,names!C1463))</f>
        <v>Skonsolidowane sprawozdanie z przepływów pieniężnych</v>
      </c>
      <c r="B1463" s="717" t="s">
        <v>267</v>
      </c>
      <c r="C1463" s="716" t="s">
        <v>1146</v>
      </c>
      <c r="D1463" s="716"/>
      <c r="E1463" s="711" t="s">
        <v>1405</v>
      </c>
      <c r="F1463" s="711"/>
    </row>
    <row r="1464" spans="1:6">
      <c r="A1464" s="715">
        <f>IF(ster!$A$1=1,names!B1464,IF(ster!$A$1=2,names!C1464))</f>
        <v>0</v>
      </c>
      <c r="B1464" s="716"/>
      <c r="C1464" s="716"/>
      <c r="D1464" s="716"/>
    </row>
    <row r="1465" spans="1:6" ht="32.25">
      <c r="A1465" s="715" t="str">
        <f>IF(ster!$A$1=1,names!B1465,IF(ster!$A$1=2,names!C1465))</f>
        <v>Wyszczególnienie, 
mln PLN</v>
      </c>
      <c r="B1465" s="716" t="s">
        <v>161</v>
      </c>
      <c r="C1465" s="716" t="s">
        <v>948</v>
      </c>
      <c r="D1465" s="716"/>
    </row>
    <row r="1466" spans="1:6">
      <c r="A1466" s="715">
        <f>IF(ster!$A$1=1,names!B1466,IF(ster!$A$1=2,names!C1466))</f>
        <v>0</v>
      </c>
      <c r="B1466" s="716"/>
      <c r="C1466" s="716"/>
      <c r="D1466" s="716"/>
    </row>
    <row r="1467" spans="1:6">
      <c r="A1467" s="715" t="str">
        <f>IF(ster!$A$1=1,names!B1467,IF(ster!$A$1=2,names!C1467))</f>
        <v>Przepływy pieniężne z działalności operacyjnej</v>
      </c>
      <c r="B1467" s="716" t="s">
        <v>80</v>
      </c>
      <c r="C1467" s="716" t="s">
        <v>1406</v>
      </c>
      <c r="D1467" s="716"/>
    </row>
    <row r="1468" spans="1:6">
      <c r="A1468" s="715" t="str">
        <f>IF(ster!$A$1=1,names!B1468,IF(ster!$A$1=2,names!C1468))</f>
        <v xml:space="preserve">Zysk/(Strata) netto </v>
      </c>
      <c r="B1468" s="716" t="s">
        <v>21</v>
      </c>
      <c r="C1468" s="716" t="s">
        <v>1407</v>
      </c>
      <c r="D1468" s="716"/>
    </row>
    <row r="1469" spans="1:6">
      <c r="A1469" s="715" t="str">
        <f>IF(ster!$A$1=1,names!B1469,IF(ster!$A$1=2,names!C1469))</f>
        <v>Korekty o pozycje:</v>
      </c>
      <c r="B1469" s="716" t="s">
        <v>90</v>
      </c>
      <c r="C1469" s="716" t="s">
        <v>1148</v>
      </c>
      <c r="D1469" s="716"/>
    </row>
    <row r="1470" spans="1:6" ht="32.25">
      <c r="A1470" s="715" t="str">
        <f>IF(ster!$A$1=1,names!B1470,IF(ster!$A$1=2,names!C1470))</f>
        <v>Udział w wyniku finansowym jednostek wycenianych metodą praw własności</v>
      </c>
      <c r="B1470" s="716" t="s">
        <v>24</v>
      </c>
      <c r="C1470" s="716" t="s">
        <v>1076</v>
      </c>
      <c r="D1470" s="716"/>
    </row>
    <row r="1471" spans="1:6">
      <c r="A1471" s="715" t="str">
        <f>IF(ster!$A$1=1,names!B1471,IF(ster!$A$1=2,names!C1471))</f>
        <v>Amortyzacja</v>
      </c>
      <c r="B1471" s="716" t="s">
        <v>91</v>
      </c>
      <c r="C1471" s="716" t="s">
        <v>1149</v>
      </c>
      <c r="D1471" s="716"/>
    </row>
    <row r="1472" spans="1:6">
      <c r="A1472" s="715" t="str">
        <f>IF(ster!$A$1=1,names!B1472,IF(ster!$A$1=2,names!C1472))</f>
        <v>(Zysk)/Strata z tytułu różnic kursowych</v>
      </c>
      <c r="B1472" s="716" t="s">
        <v>124</v>
      </c>
      <c r="C1472" s="716" t="s">
        <v>1408</v>
      </c>
      <c r="D1472" s="716"/>
    </row>
    <row r="1473" spans="1:4">
      <c r="A1473" s="715" t="str">
        <f>IF(ster!$A$1=1,names!B1473,IF(ster!$A$1=2,names!C1473))</f>
        <v>Odsetki netto</v>
      </c>
      <c r="B1473" s="716" t="s">
        <v>3</v>
      </c>
      <c r="C1473" s="716" t="s">
        <v>1409</v>
      </c>
      <c r="D1473" s="716"/>
    </row>
    <row r="1474" spans="1:4">
      <c r="A1474" s="715" t="str">
        <f>IF(ster!$A$1=1,names!B1474,IF(ster!$A$1=2,names!C1474))</f>
        <v>Dywidendy</v>
      </c>
      <c r="B1474" s="716" t="s">
        <v>19</v>
      </c>
      <c r="C1474" s="716" t="s">
        <v>1152</v>
      </c>
      <c r="D1474" s="716"/>
    </row>
    <row r="1475" spans="1:4">
      <c r="A1475" s="715" t="str">
        <f>IF(ster!$A$1=1,names!B1475,IF(ster!$A$1=2,names!C1475))</f>
        <v>(Zysk)/Strata na działalności inwestycyjnej</v>
      </c>
      <c r="B1475" s="716" t="s">
        <v>144</v>
      </c>
      <c r="C1475" s="716" t="s">
        <v>1153</v>
      </c>
      <c r="D1475" s="716"/>
    </row>
    <row r="1476" spans="1:4">
      <c r="A1476" s="715" t="str">
        <f>IF(ster!$A$1=1,names!B1476,IF(ster!$A$1=2,names!C1476))</f>
        <v>Podatek dochodowy od zysku/(straty) przed opodatkowaniem</v>
      </c>
      <c r="B1476" s="716" t="s">
        <v>251</v>
      </c>
      <c r="C1476" s="716" t="s">
        <v>1082</v>
      </c>
      <c r="D1476" s="716"/>
    </row>
    <row r="1477" spans="1:4">
      <c r="A1477" s="715" t="str">
        <f>IF(ster!$A$1=1,names!B1477,IF(ster!$A$1=2,names!C1477))</f>
        <v xml:space="preserve">Zmiana stanu rezerw </v>
      </c>
      <c r="B1477" s="716" t="s">
        <v>27</v>
      </c>
      <c r="C1477" s="716" t="s">
        <v>1154</v>
      </c>
      <c r="D1477" s="716"/>
    </row>
    <row r="1478" spans="1:4">
      <c r="A1478" s="715" t="str">
        <f>IF(ster!$A$1=1,names!B1478,IF(ster!$A$1=2,names!C1478))</f>
        <v>Zmiana stanu kapitału pracującego</v>
      </c>
      <c r="B1478" s="716" t="s">
        <v>112</v>
      </c>
      <c r="C1478" s="716" t="s">
        <v>1155</v>
      </c>
      <c r="D1478" s="716"/>
    </row>
    <row r="1479" spans="1:4">
      <c r="A1479" s="715" t="str">
        <f>IF(ster!$A$1=1,names!B1479,IF(ster!$A$1=2,names!C1479))</f>
        <v>zapasy</v>
      </c>
      <c r="B1479" s="716" t="s">
        <v>113</v>
      </c>
      <c r="C1479" s="716" t="s">
        <v>1156</v>
      </c>
      <c r="D1479" s="716"/>
    </row>
    <row r="1480" spans="1:4">
      <c r="A1480" s="715" t="str">
        <f>IF(ster!$A$1=1,names!B1480,IF(ster!$A$1=2,names!C1480))</f>
        <v>należności</v>
      </c>
      <c r="B1480" s="716" t="s">
        <v>114</v>
      </c>
      <c r="C1480" s="716" t="s">
        <v>1157</v>
      </c>
      <c r="D1480" s="716"/>
    </row>
    <row r="1481" spans="1:4">
      <c r="A1481" s="715" t="str">
        <f>IF(ster!$A$1=1,names!B1481,IF(ster!$A$1=2,names!C1481))</f>
        <v>zobowiązania</v>
      </c>
      <c r="B1481" s="716" t="s">
        <v>115</v>
      </c>
      <c r="C1481" s="716" t="s">
        <v>1158</v>
      </c>
      <c r="D1481" s="716"/>
    </row>
    <row r="1482" spans="1:4">
      <c r="A1482" s="715" t="str">
        <f>IF(ster!$A$1=1,names!B1482,IF(ster!$A$1=2,names!C1482))</f>
        <v>Pozostałe korekty</v>
      </c>
      <c r="B1482" s="716" t="s">
        <v>92</v>
      </c>
      <c r="C1482" s="716" t="s">
        <v>1410</v>
      </c>
      <c r="D1482" s="716"/>
    </row>
    <row r="1483" spans="1:4">
      <c r="A1483" s="715" t="str">
        <f>IF(ster!$A$1=1,names!B1483,IF(ster!$A$1=2,names!C1483))</f>
        <v>Podatek dochodowy (zapłacony)</v>
      </c>
      <c r="B1483" s="716" t="s">
        <v>4</v>
      </c>
      <c r="C1483" s="716" t="s">
        <v>1164</v>
      </c>
      <c r="D1483" s="716"/>
    </row>
    <row r="1484" spans="1:4" ht="32.25">
      <c r="A1484" s="715" t="str">
        <f>IF(ster!$A$1=1,names!B1484,IF(ster!$A$1=2,names!C1484))</f>
        <v>Środki pieniężne netto z/(wykorzystane w) działalności operacyjnej</v>
      </c>
      <c r="B1484" s="716" t="s">
        <v>168</v>
      </c>
      <c r="C1484" s="716" t="s">
        <v>1411</v>
      </c>
      <c r="D1484" s="716"/>
    </row>
    <row r="1485" spans="1:4">
      <c r="A1485" s="715" t="str">
        <f>IF(ster!$A$1=1,names!B1485,IF(ster!$A$1=2,names!C1485))</f>
        <v>Przepływy pieniężne z działalności inwestycyjnej</v>
      </c>
      <c r="B1485" s="716" t="s">
        <v>46</v>
      </c>
      <c r="C1485" s="716" t="s">
        <v>1412</v>
      </c>
      <c r="D1485" s="716"/>
    </row>
    <row r="1486" spans="1:4" ht="48">
      <c r="A1486" s="715" t="str">
        <f>IF(ster!$A$1=1,names!B1486,IF(ster!$A$1=2,names!C1486))</f>
        <v>Nabycie składników rzeczowego majątku trwałego, 
wartości niematerialnych i praw wieczystego użytkowania gruntów</v>
      </c>
      <c r="B1486" s="716" t="s">
        <v>156</v>
      </c>
      <c r="C1486" s="716" t="s">
        <v>1413</v>
      </c>
      <c r="D1486" s="716"/>
    </row>
    <row r="1487" spans="1:4" ht="48">
      <c r="A1487" s="715" t="str">
        <f>IF(ster!$A$1=1,names!B1487,IF(ster!$A$1=2,names!C1487))</f>
        <v>Sprzedaż składników rzeczowego majątku trwałego, 
wartości niematerialnych i praw wieczystego użytkowania gruntów</v>
      </c>
      <c r="B1487" s="716" t="s">
        <v>157</v>
      </c>
      <c r="C1487" s="716" t="s">
        <v>1414</v>
      </c>
      <c r="D1487" s="716"/>
    </row>
    <row r="1488" spans="1:4">
      <c r="A1488" s="715" t="str">
        <f>IF(ster!$A$1=1,names!B1488,IF(ster!$A$1=2,names!C1488))</f>
        <v>Nabycie akcji i udziałów skorygowane o przejęte środki pieniężne</v>
      </c>
      <c r="B1488" s="716" t="s">
        <v>252</v>
      </c>
      <c r="C1488" s="716" t="s">
        <v>1415</v>
      </c>
      <c r="D1488" s="716"/>
    </row>
    <row r="1489" spans="1:4">
      <c r="A1489" s="715" t="str">
        <f>IF(ster!$A$1=1,names!B1489,IF(ster!$A$1=2,names!C1489))</f>
        <v>Sprzedaż akcji i udziałów</v>
      </c>
      <c r="B1489" s="716" t="s">
        <v>71</v>
      </c>
      <c r="C1489" s="716" t="s">
        <v>1416</v>
      </c>
      <c r="D1489" s="716"/>
    </row>
    <row r="1490" spans="1:4">
      <c r="A1490" s="715" t="str">
        <f>IF(ster!$A$1=1,names!B1490,IF(ster!$A$1=2,names!C1490))</f>
        <v>Nabycie papierów wartościowych i depozytów</v>
      </c>
      <c r="B1490" s="716" t="s">
        <v>70</v>
      </c>
      <c r="C1490" s="716" t="s">
        <v>1417</v>
      </c>
      <c r="D1490" s="716"/>
    </row>
    <row r="1491" spans="1:4">
      <c r="A1491" s="715" t="str">
        <f>IF(ster!$A$1=1,names!B1491,IF(ster!$A$1=2,names!C1491))</f>
        <v>Sprzedaż papierów wartościowych i depozytów</v>
      </c>
      <c r="B1491" s="716" t="s">
        <v>30</v>
      </c>
      <c r="C1491" s="716" t="s">
        <v>1418</v>
      </c>
      <c r="D1491" s="716"/>
    </row>
    <row r="1492" spans="1:4">
      <c r="A1492" s="715" t="str">
        <f>IF(ster!$A$1=1,names!B1492,IF(ster!$A$1=2,names!C1492))</f>
        <v>Odsetki otrzymane</v>
      </c>
      <c r="B1492" s="716" t="s">
        <v>28</v>
      </c>
      <c r="C1492" s="716" t="s">
        <v>1171</v>
      </c>
      <c r="D1492" s="716"/>
    </row>
    <row r="1493" spans="1:4">
      <c r="A1493" s="715" t="str">
        <f>IF(ster!$A$1=1,names!B1493,IF(ster!$A$1=2,names!C1493))</f>
        <v>Depozyty netto</v>
      </c>
      <c r="B1493" s="716" t="s">
        <v>154</v>
      </c>
      <c r="C1493" s="716" t="s">
        <v>1419</v>
      </c>
      <c r="D1493" s="716"/>
    </row>
    <row r="1494" spans="1:4">
      <c r="A1494" s="715" t="str">
        <f>IF(ster!$A$1=1,names!B1494,IF(ster!$A$1=2,names!C1494))</f>
        <v>Dywidendy otrzymane</v>
      </c>
      <c r="B1494" s="716" t="s">
        <v>26</v>
      </c>
      <c r="C1494" s="716" t="s">
        <v>1172</v>
      </c>
      <c r="D1494" s="716"/>
    </row>
    <row r="1495" spans="1:4">
      <c r="A1495" s="715" t="str">
        <f>IF(ster!$A$1=1,names!B1495,IF(ster!$A$1=2,names!C1495))</f>
        <v>Wpływy/Wydatki z tytułu udzielonych pożyczek</v>
      </c>
      <c r="B1495" s="716" t="s">
        <v>196</v>
      </c>
      <c r="C1495" s="716" t="s">
        <v>1420</v>
      </c>
      <c r="D1495" s="716"/>
    </row>
    <row r="1496" spans="1:4">
      <c r="A1496" s="715" t="str">
        <f>IF(ster!$A$1=1,names!B1496,IF(ster!$A$1=2,names!C1496))</f>
        <v>Pozostałe</v>
      </c>
      <c r="B1496" s="716" t="s">
        <v>47</v>
      </c>
      <c r="C1496" s="716" t="s">
        <v>935</v>
      </c>
      <c r="D1496" s="716"/>
    </row>
    <row r="1497" spans="1:4" ht="32.25">
      <c r="A1497" s="715" t="str">
        <f>IF(ster!$A$1=1,names!B1497,IF(ster!$A$1=2,names!C1497))</f>
        <v>Środki pieniężne netto z (wykorzystane w) działalności inwestycyjnej</v>
      </c>
      <c r="B1497" s="716" t="s">
        <v>170</v>
      </c>
      <c r="C1497" s="716" t="s">
        <v>1175</v>
      </c>
      <c r="D1497" s="716"/>
    </row>
    <row r="1498" spans="1:4">
      <c r="A1498" s="715" t="str">
        <f>IF(ster!$A$1=1,names!B1498,IF(ster!$A$1=2,names!C1498))</f>
        <v>Przepływy pieniężne z działalności finansowej</v>
      </c>
      <c r="B1498" s="716" t="s">
        <v>48</v>
      </c>
      <c r="C1498" s="716" t="s">
        <v>1176</v>
      </c>
      <c r="D1498" s="716"/>
    </row>
    <row r="1499" spans="1:4">
      <c r="A1499" s="715" t="str">
        <f>IF(ster!$A$1=1,names!B1499,IF(ster!$A$1=2,names!C1499))</f>
        <v>Wpływy z otrzymanych kredytów i pożyczek</v>
      </c>
      <c r="B1499" s="716" t="s">
        <v>1</v>
      </c>
      <c r="C1499" s="716" t="s">
        <v>1421</v>
      </c>
      <c r="D1499" s="716"/>
    </row>
    <row r="1500" spans="1:4">
      <c r="A1500" s="715" t="str">
        <f>IF(ster!$A$1=1,names!B1500,IF(ster!$A$1=2,names!C1500))</f>
        <v>Emisja obligacji</v>
      </c>
      <c r="B1500" s="716" t="s">
        <v>273</v>
      </c>
      <c r="C1500" s="716" t="s">
        <v>1422</v>
      </c>
      <c r="D1500" s="716"/>
    </row>
    <row r="1501" spans="1:4">
      <c r="A1501" s="715" t="str">
        <f>IF(ster!$A$1=1,names!B1501,IF(ster!$A$1=2,names!C1501))</f>
        <v>Spłaty kredytów i pożyczek</v>
      </c>
      <c r="B1501" s="716" t="s">
        <v>2</v>
      </c>
      <c r="C1501" s="716" t="s">
        <v>1178</v>
      </c>
      <c r="D1501" s="716"/>
    </row>
    <row r="1502" spans="1:4">
      <c r="A1502" s="715" t="str">
        <f>IF(ster!$A$1=1,names!B1502,IF(ster!$A$1=2,names!C1502))</f>
        <v>Wykup dłużnych papierów wartościowych</v>
      </c>
      <c r="B1502" s="716" t="s">
        <v>93</v>
      </c>
      <c r="C1502" s="716" t="s">
        <v>1423</v>
      </c>
      <c r="D1502" s="716"/>
    </row>
    <row r="1503" spans="1:4">
      <c r="A1503" s="715" t="str">
        <f>IF(ster!$A$1=1,names!B1503,IF(ster!$A$1=2,names!C1503))</f>
        <v xml:space="preserve">Odsetki zapłacone </v>
      </c>
      <c r="B1503" s="716" t="s">
        <v>132</v>
      </c>
      <c r="C1503" s="716" t="s">
        <v>1424</v>
      </c>
      <c r="D1503" s="716"/>
    </row>
    <row r="1504" spans="1:4">
      <c r="A1504" s="715" t="str">
        <f>IF(ster!$A$1=1,names!B1504,IF(ster!$A$1=2,names!C1504))</f>
        <v>Dywidendy wypłacone</v>
      </c>
      <c r="B1504" s="716" t="s">
        <v>127</v>
      </c>
      <c r="C1504" s="716" t="s">
        <v>1425</v>
      </c>
      <c r="D1504" s="716"/>
    </row>
    <row r="1505" spans="1:5">
      <c r="A1505" s="715" t="str">
        <f>IF(ster!$A$1=1,names!B1505,IF(ster!$A$1=2,names!C1505))</f>
        <v>Płatności  zobowiązań  z  tytułu  umów  leasingu  finansowego</v>
      </c>
      <c r="B1505" s="716" t="s">
        <v>121</v>
      </c>
      <c r="C1505" s="716" t="s">
        <v>1426</v>
      </c>
      <c r="D1505" s="716"/>
    </row>
    <row r="1506" spans="1:5">
      <c r="A1506" s="715" t="str">
        <f>IF(ster!$A$1=1,names!B1506,IF(ster!$A$1=2,names!C1506))</f>
        <v>Otrzymane dotacje</v>
      </c>
      <c r="B1506" s="716" t="s">
        <v>159</v>
      </c>
      <c r="C1506" s="716" t="s">
        <v>1427</v>
      </c>
      <c r="D1506" s="716"/>
    </row>
    <row r="1507" spans="1:5">
      <c r="A1507" s="715" t="str">
        <f>IF(ster!$A$1=1,names!B1507,IF(ster!$A$1=2,names!C1507))</f>
        <v>Pozostałe</v>
      </c>
      <c r="B1507" s="716" t="s">
        <v>47</v>
      </c>
      <c r="C1507" s="716" t="s">
        <v>1428</v>
      </c>
      <c r="D1507" s="716"/>
    </row>
    <row r="1508" spans="1:5" ht="32.25">
      <c r="A1508" s="715" t="str">
        <f>IF(ster!$A$1=1,names!B1508,IF(ster!$A$1=2,names!C1508))</f>
        <v>Środki pieniężne netto z/(wykorzystane w) działalności finansowej</v>
      </c>
      <c r="B1508" s="716" t="s">
        <v>145</v>
      </c>
      <c r="C1508" s="716" t="s">
        <v>1429</v>
      </c>
      <c r="D1508" s="716"/>
    </row>
    <row r="1509" spans="1:5">
      <c r="A1509" s="715">
        <f>IF(ster!$A$1=1,names!B1509,IF(ster!$A$1=2,names!C1509))</f>
        <v>0</v>
      </c>
      <c r="B1509" s="716"/>
      <c r="C1509" s="716"/>
      <c r="D1509" s="716"/>
    </row>
    <row r="1510" spans="1:5" ht="32.25">
      <c r="A1510" s="715" t="str">
        <f>IF(ster!$A$1=1,names!B1510,IF(ster!$A$1=2,names!C1510))</f>
        <v>Zwiększenie/(Zmniejszenie) netto stanu środków pieniężnych i ich ekwiwalentów</v>
      </c>
      <c r="B1510" s="716" t="s">
        <v>253</v>
      </c>
      <c r="C1510" s="716" t="s">
        <v>1430</v>
      </c>
      <c r="D1510" s="716"/>
    </row>
    <row r="1511" spans="1:5" ht="32.25">
      <c r="A1511" s="715" t="str">
        <f>IF(ster!$A$1=1,names!B1511,IF(ster!$A$1=2,names!C1511))</f>
        <v>Zmiana stanu środków pieniężnych i ich ekwiwalentów z tytułu różnic kursowych</v>
      </c>
      <c r="B1511" s="716" t="s">
        <v>5</v>
      </c>
      <c r="C1511" s="716" t="s">
        <v>1431</v>
      </c>
      <c r="D1511" s="716"/>
    </row>
    <row r="1512" spans="1:5">
      <c r="A1512" s="715" t="str">
        <f>IF(ster!$A$1=1,names!B1512,IF(ster!$A$1=2,names!C1512))</f>
        <v>Środki  pieniężne i ich  ekwiwalenty  na  początek  okresu</v>
      </c>
      <c r="B1512" s="716" t="s">
        <v>122</v>
      </c>
      <c r="C1512" s="716" t="s">
        <v>1432</v>
      </c>
      <c r="D1512" s="716"/>
    </row>
    <row r="1513" spans="1:5">
      <c r="A1513" s="715">
        <f>IF(ster!$A$1=1,names!B1513,IF(ster!$A$1=2,names!C1513))</f>
        <v>0</v>
      </c>
      <c r="B1513" s="716"/>
      <c r="C1513" s="716"/>
      <c r="D1513" s="716"/>
    </row>
    <row r="1514" spans="1:5">
      <c r="A1514" s="715" t="str">
        <f>IF(ster!$A$1=1,names!B1514,IF(ster!$A$1=2,names!C1514))</f>
        <v>Środki pieniężne i ich ekwiwalenty na koniec okresu</v>
      </c>
      <c r="B1514" s="716" t="s">
        <v>6</v>
      </c>
      <c r="C1514" s="716" t="s">
        <v>1433</v>
      </c>
      <c r="D1514" s="716"/>
    </row>
    <row r="1515" spans="1:5" ht="63.75">
      <c r="A1515" s="715" t="str">
        <f>IF(ster!$A$1=1,names!B1515,IF(ster!$A$1=2,names!C1515))</f>
        <v>*) Dane przekształcone – zmiana metody konsolidacji spółek Basell ORLEN Polyolefines Sp. z o.o. i Płocki Park Przemysłowo-Technologiczny S.A. zgodnie z MSSF 11.</v>
      </c>
      <c r="B1515" s="716" t="s">
        <v>197</v>
      </c>
      <c r="C1515" s="716" t="s">
        <v>1027</v>
      </c>
      <c r="D1515" s="716"/>
    </row>
    <row r="1516" spans="1:5">
      <c r="A1516" s="715">
        <f>IF(ster!$A$1=1,names!B1516,IF(ster!$A$1=2,names!C1516))</f>
        <v>0</v>
      </c>
      <c r="B1516" s="716"/>
      <c r="C1516" s="716"/>
      <c r="D1516" s="716"/>
    </row>
    <row r="1517" spans="1:5">
      <c r="A1517" s="715" t="str">
        <f>IF(ster!$A$1=1,names!B1517,IF(ster!$A$1=2,names!C1517))</f>
        <v>Skonsolidowane sprawozdanie z przepływów pieniężnych</v>
      </c>
      <c r="B1517" s="717" t="s">
        <v>267</v>
      </c>
      <c r="C1517" s="716" t="s">
        <v>1146</v>
      </c>
      <c r="D1517" s="716"/>
      <c r="E1517" s="709" t="s">
        <v>1434</v>
      </c>
    </row>
    <row r="1518" spans="1:5">
      <c r="A1518" s="715">
        <f>IF(ster!$A$1=1,names!B1518,IF(ster!$A$1=2,names!C1518))</f>
        <v>0</v>
      </c>
      <c r="B1518" s="716"/>
      <c r="C1518" s="716"/>
      <c r="D1518" s="716"/>
    </row>
    <row r="1519" spans="1:5" ht="32.25">
      <c r="A1519" s="715" t="str">
        <f>IF(ster!$A$1=1,names!B1519,IF(ster!$A$1=2,names!C1519))</f>
        <v>Wyszczególnienie, 
mln PLN</v>
      </c>
      <c r="B1519" s="716" t="s">
        <v>161</v>
      </c>
      <c r="C1519" s="716" t="s">
        <v>948</v>
      </c>
      <c r="D1519" s="716"/>
    </row>
    <row r="1520" spans="1:5">
      <c r="A1520" s="715">
        <f>IF(ster!$A$1=1,names!B1520,IF(ster!$A$1=2,names!C1520))</f>
        <v>0</v>
      </c>
      <c r="B1520" s="716"/>
      <c r="C1520" s="716"/>
      <c r="D1520" s="716"/>
    </row>
    <row r="1521" spans="1:4">
      <c r="A1521" s="715" t="str">
        <f>IF(ster!$A$1=1,names!B1521,IF(ster!$A$1=2,names!C1521))</f>
        <v>Przepływy pieniężne z działalności operacyjnej</v>
      </c>
      <c r="B1521" s="716" t="s">
        <v>80</v>
      </c>
      <c r="C1521" s="716" t="s">
        <v>1147</v>
      </c>
      <c r="D1521" s="716"/>
    </row>
    <row r="1522" spans="1:4">
      <c r="A1522" s="715" t="str">
        <f>IF(ster!$A$1=1,names!B1522,IF(ster!$A$1=2,names!C1522))</f>
        <v>Zysk przed opodatkowaniem</v>
      </c>
      <c r="B1522" s="716" t="s">
        <v>284</v>
      </c>
      <c r="C1522" s="716" t="s">
        <v>1374</v>
      </c>
      <c r="D1522" s="716"/>
    </row>
    <row r="1523" spans="1:4">
      <c r="A1523" s="715" t="str">
        <f>IF(ster!$A$1=1,names!B1523,IF(ster!$A$1=2,names!C1523))</f>
        <v>Korekty o pozycje:</v>
      </c>
      <c r="B1523" s="716" t="s">
        <v>90</v>
      </c>
      <c r="C1523" s="716" t="s">
        <v>1148</v>
      </c>
      <c r="D1523" s="716"/>
    </row>
    <row r="1524" spans="1:4" ht="32.25">
      <c r="A1524" s="715" t="str">
        <f>IF(ster!$A$1=1,names!B1524,IF(ster!$A$1=2,names!C1524))</f>
        <v>Udział w wyniku finansowym jednostek wycenianych metodą praw własności</v>
      </c>
      <c r="B1524" s="716" t="s">
        <v>24</v>
      </c>
      <c r="C1524" s="716" t="s">
        <v>1076</v>
      </c>
      <c r="D1524" s="716"/>
    </row>
    <row r="1525" spans="1:4">
      <c r="A1525" s="715" t="str">
        <f>IF(ster!$A$1=1,names!B1525,IF(ster!$A$1=2,names!C1525))</f>
        <v>Amortyzacja</v>
      </c>
      <c r="B1525" s="716" t="s">
        <v>91</v>
      </c>
      <c r="C1525" s="716" t="s">
        <v>1149</v>
      </c>
      <c r="D1525" s="716"/>
    </row>
    <row r="1526" spans="1:4">
      <c r="A1526" s="715" t="str">
        <f>IF(ster!$A$1=1,names!B1526,IF(ster!$A$1=2,names!C1526))</f>
        <v>(Zysk)/Strata z tytułu różnic kursowych</v>
      </c>
      <c r="B1526" s="716" t="s">
        <v>124</v>
      </c>
      <c r="C1526" s="716" t="s">
        <v>1150</v>
      </c>
      <c r="D1526" s="716"/>
    </row>
    <row r="1527" spans="1:4">
      <c r="A1527" s="715" t="str">
        <f>IF(ster!$A$1=1,names!B1527,IF(ster!$A$1=2,names!C1527))</f>
        <v>Odsetki netto</v>
      </c>
      <c r="B1527" s="716" t="s">
        <v>3</v>
      </c>
      <c r="C1527" s="716" t="s">
        <v>1409</v>
      </c>
      <c r="D1527" s="716"/>
    </row>
    <row r="1528" spans="1:4">
      <c r="A1528" s="715" t="str">
        <f>IF(ster!$A$1=1,names!B1528,IF(ster!$A$1=2,names!C1528))</f>
        <v>Dywidendy</v>
      </c>
      <c r="B1528" s="716" t="s">
        <v>19</v>
      </c>
      <c r="C1528" s="716" t="s">
        <v>1152</v>
      </c>
      <c r="D1528" s="716"/>
    </row>
    <row r="1529" spans="1:4">
      <c r="A1529" s="715" t="str">
        <f>IF(ster!$A$1=1,names!B1529,IF(ster!$A$1=2,names!C1529))</f>
        <v>(Zysk)/Strata na działalności inwestycyjnej, w tym:</v>
      </c>
      <c r="B1529" s="716" t="s">
        <v>325</v>
      </c>
      <c r="C1529" s="716" t="s">
        <v>1153</v>
      </c>
      <c r="D1529" s="716"/>
    </row>
    <row r="1530" spans="1:4" ht="32.25">
      <c r="A1530" s="715" t="str">
        <f>IF(ster!$A$1=1,names!B1530,IF(ster!$A$1=2,names!C1530))</f>
        <v>utworzenie/(odwrócenie) odpisów aktualizujących wartość rzeczowych aktywów trwałych i wartości niematerialnych</v>
      </c>
      <c r="B1530" s="716" t="s">
        <v>324</v>
      </c>
      <c r="C1530" s="716" t="s">
        <v>1435</v>
      </c>
      <c r="D1530" s="716"/>
    </row>
    <row r="1531" spans="1:4">
      <c r="A1531" s="715" t="str">
        <f>IF(ster!$A$1=1,names!B1531,IF(ster!$A$1=2,names!C1531))</f>
        <v xml:space="preserve">Zmiana stanu rezerw </v>
      </c>
      <c r="B1531" s="716" t="s">
        <v>27</v>
      </c>
      <c r="C1531" s="716" t="s">
        <v>1154</v>
      </c>
      <c r="D1531" s="716"/>
    </row>
    <row r="1532" spans="1:4">
      <c r="A1532" s="715" t="str">
        <f>IF(ster!$A$1=1,names!B1532,IF(ster!$A$1=2,names!C1532))</f>
        <v>Zmiana stanu kapitału pracującego</v>
      </c>
      <c r="B1532" s="716" t="s">
        <v>112</v>
      </c>
      <c r="C1532" s="716" t="s">
        <v>1155</v>
      </c>
      <c r="D1532" s="716"/>
    </row>
    <row r="1533" spans="1:4">
      <c r="A1533" s="715" t="str">
        <f>IF(ster!$A$1=1,names!B1533,IF(ster!$A$1=2,names!C1533))</f>
        <v>zapasy</v>
      </c>
      <c r="B1533" s="716" t="s">
        <v>113</v>
      </c>
      <c r="C1533" s="716" t="s">
        <v>1156</v>
      </c>
      <c r="D1533" s="716"/>
    </row>
    <row r="1534" spans="1:4">
      <c r="A1534" s="715" t="str">
        <f>IF(ster!$A$1=1,names!B1534,IF(ster!$A$1=2,names!C1534))</f>
        <v>należności</v>
      </c>
      <c r="B1534" s="716" t="s">
        <v>114</v>
      </c>
      <c r="C1534" s="716" t="s">
        <v>1157</v>
      </c>
      <c r="D1534" s="716"/>
    </row>
    <row r="1535" spans="1:4">
      <c r="A1535" s="715" t="str">
        <f>IF(ster!$A$1=1,names!B1535,IF(ster!$A$1=2,names!C1535))</f>
        <v>zobowiązania</v>
      </c>
      <c r="B1535" s="716" t="s">
        <v>115</v>
      </c>
      <c r="C1535" s="716" t="s">
        <v>1158</v>
      </c>
      <c r="D1535" s="716"/>
    </row>
    <row r="1536" spans="1:4">
      <c r="A1536" s="715" t="str">
        <f>IF(ster!$A$1=1,names!B1536,IF(ster!$A$1=2,names!C1536))</f>
        <v>Pozostałe korekty, w tym:</v>
      </c>
      <c r="B1536" s="716" t="s">
        <v>320</v>
      </c>
      <c r="C1536" s="716" t="s">
        <v>1159</v>
      </c>
      <c r="D1536" s="716"/>
    </row>
    <row r="1537" spans="1:4" ht="48">
      <c r="A1537" s="715" t="str">
        <f>IF(ster!$A$1=1,names!B1537,IF(ster!$A$1=2,names!C1537))</f>
        <v>zmiana stanu rozrachunków z tytułu odszkodowań od ubezpieczycieli w Grupie Unipetrol</v>
      </c>
      <c r="B1537" s="716" t="s">
        <v>319</v>
      </c>
      <c r="C1537" s="716" t="s">
        <v>1436</v>
      </c>
      <c r="D1537" s="716"/>
    </row>
    <row r="1538" spans="1:4">
      <c r="A1538" s="715" t="str">
        <f>IF(ster!$A$1=1,names!B1538,IF(ster!$A$1=2,names!C1538))</f>
        <v>nieodpłatnie otrzymane prawa majątkowe</v>
      </c>
      <c r="B1538" s="716" t="s">
        <v>323</v>
      </c>
      <c r="C1538" s="716" t="s">
        <v>1437</v>
      </c>
      <c r="D1538" s="716"/>
    </row>
    <row r="1539" spans="1:4">
      <c r="A1539" s="715" t="str">
        <f>IF(ster!$A$1=1,names!B1539,IF(ster!$A$1=2,names!C1539))</f>
        <v>Podatek dochodowy (zapłacony)</v>
      </c>
      <c r="B1539" s="716" t="s">
        <v>4</v>
      </c>
      <c r="C1539" s="716" t="s">
        <v>1164</v>
      </c>
      <c r="D1539" s="716"/>
    </row>
    <row r="1540" spans="1:4" ht="32.25">
      <c r="A1540" s="715" t="str">
        <f>IF(ster!$A$1=1,names!B1540,IF(ster!$A$1=2,names!C1540))</f>
        <v>Środki pieniężne netto z/(wykorzystane w) działalności operacyjnej</v>
      </c>
      <c r="B1540" s="716" t="s">
        <v>168</v>
      </c>
      <c r="C1540" s="716" t="s">
        <v>1165</v>
      </c>
      <c r="D1540" s="716"/>
    </row>
    <row r="1541" spans="1:4">
      <c r="A1541" s="715" t="str">
        <f>IF(ster!$A$1=1,names!B1541,IF(ster!$A$1=2,names!C1541))</f>
        <v>Przepływy pieniężne z działalności inwestycyjnej</v>
      </c>
      <c r="B1541" s="716" t="s">
        <v>46</v>
      </c>
      <c r="C1541" s="716" t="s">
        <v>1166</v>
      </c>
      <c r="D1541" s="716"/>
    </row>
    <row r="1542" spans="1:4" ht="48">
      <c r="A1542" s="715" t="str">
        <f>IF(ster!$A$1=1,names!B1542,IF(ster!$A$1=2,names!C1542))</f>
        <v>Nabycie składników rzeczowego majątku trwałego, 
wartości niematerialnych i praw wieczystego użytkowania gruntów</v>
      </c>
      <c r="B1542" s="716" t="s">
        <v>156</v>
      </c>
      <c r="C1542" s="716" t="s">
        <v>1413</v>
      </c>
      <c r="D1542" s="716"/>
    </row>
    <row r="1543" spans="1:4">
      <c r="A1543" s="715" t="str">
        <f>IF(ster!$A$1=1,names!B1543,IF(ster!$A$1=2,names!C1543))</f>
        <v>Nabycie akcji i udziałów skorygowane o przejęte środki pieniężne</v>
      </c>
      <c r="B1543" s="716" t="s">
        <v>252</v>
      </c>
      <c r="C1543" s="716" t="s">
        <v>1438</v>
      </c>
      <c r="D1543" s="716"/>
    </row>
    <row r="1544" spans="1:4" ht="48">
      <c r="A1544" s="715" t="str">
        <f>IF(ster!$A$1=1,names!B1544,IF(ster!$A$1=2,names!C1544))</f>
        <v>Sprzedaż składników rzeczowego majątku trwałego, 
wartości niematerialnych i praw wieczystego użytkowania gruntów</v>
      </c>
      <c r="B1544" s="716" t="s">
        <v>157</v>
      </c>
      <c r="C1544" s="716" t="s">
        <v>1414</v>
      </c>
      <c r="D1544" s="716"/>
    </row>
    <row r="1545" spans="1:4">
      <c r="A1545" s="715" t="str">
        <f>IF(ster!$A$1=1,names!B1545,IF(ster!$A$1=2,names!C1545))</f>
        <v>Sprzedaż jednostki podporządkowanej</v>
      </c>
      <c r="B1545" s="716" t="s">
        <v>285</v>
      </c>
      <c r="C1545" s="716" t="s">
        <v>1439</v>
      </c>
      <c r="D1545" s="716"/>
    </row>
    <row r="1546" spans="1:4">
      <c r="A1546" s="715" t="str">
        <f>IF(ster!$A$1=1,names!B1546,IF(ster!$A$1=2,names!C1546))</f>
        <v>Dywidendy otrzymane</v>
      </c>
      <c r="B1546" s="716" t="s">
        <v>26</v>
      </c>
      <c r="C1546" s="716" t="s">
        <v>1172</v>
      </c>
      <c r="D1546" s="716"/>
    </row>
    <row r="1547" spans="1:4" ht="32.25">
      <c r="A1547" s="715" t="str">
        <f>IF(ster!$A$1=1,names!B1547,IF(ster!$A$1=2,names!C1547))</f>
        <v>Rozliczenie instrumentów pochodnych niewyznaczonych dla celów rachunkowości zabezpieczeń</v>
      </c>
      <c r="B1547" s="716" t="s">
        <v>322</v>
      </c>
      <c r="C1547" s="716" t="s">
        <v>1440</v>
      </c>
      <c r="D1547" s="716"/>
    </row>
    <row r="1548" spans="1:4">
      <c r="A1548" s="715" t="str">
        <f>IF(ster!$A$1=1,names!B1548,IF(ster!$A$1=2,names!C1548))</f>
        <v>Pozostałe</v>
      </c>
      <c r="B1548" s="716" t="s">
        <v>47</v>
      </c>
      <c r="C1548" s="716" t="s">
        <v>935</v>
      </c>
      <c r="D1548" s="716"/>
    </row>
    <row r="1549" spans="1:4" ht="32.25">
      <c r="A1549" s="715" t="str">
        <f>IF(ster!$A$1=1,names!B1549,IF(ster!$A$1=2,names!C1549))</f>
        <v>Środki pieniężne netto z/(wykorzystane w) działalności inwestycyjnej</v>
      </c>
      <c r="B1549" s="716" t="s">
        <v>294</v>
      </c>
      <c r="C1549" s="716" t="s">
        <v>1175</v>
      </c>
      <c r="D1549" s="716"/>
    </row>
    <row r="1550" spans="1:4">
      <c r="A1550" s="715" t="str">
        <f>IF(ster!$A$1=1,names!B1550,IF(ster!$A$1=2,names!C1550))</f>
        <v>Przepływy pieniężne z działalności finansowej</v>
      </c>
      <c r="B1550" s="716" t="s">
        <v>48</v>
      </c>
      <c r="C1550" s="716" t="s">
        <v>1176</v>
      </c>
      <c r="D1550" s="716"/>
    </row>
    <row r="1551" spans="1:4">
      <c r="A1551" s="715" t="str">
        <f>IF(ster!$A$1=1,names!B1551,IF(ster!$A$1=2,names!C1551))</f>
        <v>Wpływy z otrzymanych kredytów i pożyczek</v>
      </c>
      <c r="B1551" s="716" t="s">
        <v>1</v>
      </c>
      <c r="C1551" s="716" t="s">
        <v>1421</v>
      </c>
      <c r="D1551" s="716"/>
    </row>
    <row r="1552" spans="1:4">
      <c r="A1552" s="715" t="str">
        <f>IF(ster!$A$1=1,names!B1552,IF(ster!$A$1=2,names!C1552))</f>
        <v>Emisja obligacji</v>
      </c>
      <c r="B1552" s="716" t="s">
        <v>273</v>
      </c>
      <c r="C1552" s="716" t="s">
        <v>1441</v>
      </c>
      <c r="D1552" s="716"/>
    </row>
    <row r="1553" spans="1:4">
      <c r="A1553" s="715" t="str">
        <f>IF(ster!$A$1=1,names!B1553,IF(ster!$A$1=2,names!C1553))</f>
        <v>Spłaty kredytów i pożyczek</v>
      </c>
      <c r="B1553" s="716" t="s">
        <v>2</v>
      </c>
      <c r="C1553" s="716" t="s">
        <v>1442</v>
      </c>
      <c r="D1553" s="716"/>
    </row>
    <row r="1554" spans="1:4">
      <c r="A1554" s="715" t="str">
        <f>IF(ster!$A$1=1,names!B1554,IF(ster!$A$1=2,names!C1554))</f>
        <v>Wykup obligacji</v>
      </c>
      <c r="B1554" s="716" t="s">
        <v>318</v>
      </c>
      <c r="C1554" s="716" t="s">
        <v>1179</v>
      </c>
      <c r="D1554" s="716"/>
    </row>
    <row r="1555" spans="1:4">
      <c r="A1555" s="715" t="str">
        <f>IF(ster!$A$1=1,names!B1555,IF(ster!$A$1=2,names!C1555))</f>
        <v xml:space="preserve">Odsetki zapłacone </v>
      </c>
      <c r="B1555" s="716" t="s">
        <v>132</v>
      </c>
      <c r="C1555" s="716" t="s">
        <v>1443</v>
      </c>
      <c r="D1555" s="716"/>
    </row>
    <row r="1556" spans="1:4">
      <c r="A1556" s="715" t="str">
        <f>IF(ster!$A$1=1,names!B1556,IF(ster!$A$1=2,names!C1556))</f>
        <v>Dywidendy wypłacone</v>
      </c>
      <c r="B1556" s="716" t="s">
        <v>127</v>
      </c>
      <c r="C1556" s="716" t="s">
        <v>1182</v>
      </c>
      <c r="D1556" s="716"/>
    </row>
    <row r="1557" spans="1:4">
      <c r="A1557" s="715" t="str">
        <f>IF(ster!$A$1=1,names!B1557,IF(ster!$A$1=2,names!C1557))</f>
        <v>akcjonariuszom jednostki dominującej</v>
      </c>
      <c r="B1557" s="716" t="s">
        <v>297</v>
      </c>
      <c r="C1557" s="716" t="s">
        <v>1097</v>
      </c>
      <c r="D1557" s="716"/>
    </row>
    <row r="1558" spans="1:4">
      <c r="A1558" s="715" t="str">
        <f>IF(ster!$A$1=1,names!B1558,IF(ster!$A$1=2,names!C1558))</f>
        <v xml:space="preserve">akcjonariuszom niekontrolującym </v>
      </c>
      <c r="B1558" s="716" t="s">
        <v>298</v>
      </c>
      <c r="C1558" s="716" t="s">
        <v>1098</v>
      </c>
      <c r="D1558" s="716"/>
    </row>
    <row r="1559" spans="1:4">
      <c r="A1559" s="715" t="str">
        <f>IF(ster!$A$1=1,names!B1559,IF(ster!$A$1=2,names!C1559))</f>
        <v>Płatności  zobowiązań  z  tytułu  umów  leasingu  finansowego</v>
      </c>
      <c r="B1559" s="716" t="s">
        <v>121</v>
      </c>
      <c r="C1559" s="716" t="s">
        <v>1426</v>
      </c>
      <c r="D1559" s="716"/>
    </row>
    <row r="1560" spans="1:4">
      <c r="A1560" s="715" t="str">
        <f>IF(ster!$A$1=1,names!B1560,IF(ster!$A$1=2,names!C1560))</f>
        <v>Pozostałe</v>
      </c>
      <c r="B1560" s="716" t="s">
        <v>47</v>
      </c>
      <c r="C1560" s="716" t="s">
        <v>935</v>
      </c>
      <c r="D1560" s="716"/>
    </row>
    <row r="1561" spans="1:4" ht="32.25">
      <c r="A1561" s="715" t="str">
        <f>IF(ster!$A$1=1,names!B1561,IF(ster!$A$1=2,names!C1561))</f>
        <v>Środki pieniężne netto z/(wykorzystane w) działalności finansowej</v>
      </c>
      <c r="B1561" s="716" t="s">
        <v>145</v>
      </c>
      <c r="C1561" s="716" t="s">
        <v>1444</v>
      </c>
      <c r="D1561" s="716"/>
    </row>
    <row r="1562" spans="1:4">
      <c r="A1562" s="715">
        <f>IF(ster!$A$1=1,names!B1562,IF(ster!$A$1=2,names!C1562))</f>
        <v>0</v>
      </c>
      <c r="B1562" s="716"/>
      <c r="C1562" s="716"/>
      <c r="D1562" s="716"/>
    </row>
    <row r="1563" spans="1:4" ht="32.25">
      <c r="A1563" s="715" t="str">
        <f>IF(ster!$A$1=1,names!B1563,IF(ster!$A$1=2,names!C1563))</f>
        <v>Zwiększenie/(Zmniejszenie) netto stanu środków pieniężnych i ich ekwiwalentów</v>
      </c>
      <c r="B1563" s="716" t="s">
        <v>253</v>
      </c>
      <c r="C1563" s="716" t="s">
        <v>1445</v>
      </c>
      <c r="D1563" s="716"/>
    </row>
    <row r="1564" spans="1:4" ht="32.25">
      <c r="A1564" s="715" t="str">
        <f>IF(ster!$A$1=1,names!B1564,IF(ster!$A$1=2,names!C1564))</f>
        <v>Zmiana stanu środków pieniężnych i ich ekwiwalentów z tytułu różnic kursowych</v>
      </c>
      <c r="B1564" s="716" t="s">
        <v>5</v>
      </c>
      <c r="C1564" s="716" t="s">
        <v>1431</v>
      </c>
      <c r="D1564" s="716"/>
    </row>
    <row r="1565" spans="1:4">
      <c r="A1565" s="715" t="str">
        <f>IF(ster!$A$1=1,names!B1565,IF(ster!$A$1=2,names!C1565))</f>
        <v>Środki pieniężne i ich ekwiwalenty na początek okresu</v>
      </c>
      <c r="B1565" s="716" t="s">
        <v>299</v>
      </c>
      <c r="C1565" s="716" t="s">
        <v>1432</v>
      </c>
      <c r="D1565" s="716"/>
    </row>
    <row r="1566" spans="1:4">
      <c r="A1566" s="715">
        <f>IF(ster!$A$1=1,names!B1566,IF(ster!$A$1=2,names!C1566))</f>
        <v>0</v>
      </c>
      <c r="B1566" s="716"/>
      <c r="C1566" s="716"/>
      <c r="D1566" s="716"/>
    </row>
    <row r="1567" spans="1:4">
      <c r="A1567" s="715" t="str">
        <f>IF(ster!$A$1=1,names!B1567,IF(ster!$A$1=2,names!C1567))</f>
        <v>Środki pieniężne i ich ekwiwalenty na koniec okresu</v>
      </c>
      <c r="B1567" s="716" t="s">
        <v>6</v>
      </c>
      <c r="C1567" s="716" t="s">
        <v>1433</v>
      </c>
      <c r="D1567" s="716"/>
    </row>
    <row r="1568" spans="1:4">
      <c r="A1568" s="715">
        <f>IF(ster!$A$1=1,names!B1568,IF(ster!$A$1=2,names!C1568))</f>
        <v>0</v>
      </c>
      <c r="B1568" s="716"/>
      <c r="C1568" s="716"/>
      <c r="D1568" s="716"/>
    </row>
    <row r="1569" spans="1:5">
      <c r="A1569" s="715" t="str">
        <f>IF(ster!$A$1=1,names!B1569,IF(ster!$A$1=2,names!C1569))</f>
        <v>Skonsolidowane sprawozdanie z przepływów pieniężnych</v>
      </c>
      <c r="B1569" s="717" t="s">
        <v>267</v>
      </c>
      <c r="C1569" s="716" t="s">
        <v>1146</v>
      </c>
      <c r="D1569" s="716"/>
      <c r="E1569" s="709" t="s">
        <v>1446</v>
      </c>
    </row>
    <row r="1570" spans="1:5">
      <c r="A1570" s="715">
        <f>IF(ster!$A$1=1,names!B1570,IF(ster!$A$1=2,names!C1570))</f>
        <v>0</v>
      </c>
      <c r="B1570" s="716"/>
      <c r="C1570" s="716"/>
      <c r="D1570" s="716"/>
    </row>
    <row r="1571" spans="1:5" ht="32.25">
      <c r="A1571" s="715" t="str">
        <f>IF(ster!$A$1=1,names!B1571,IF(ster!$A$1=2,names!C1571))</f>
        <v>Wyszczególnienie, 
mln PLN</v>
      </c>
      <c r="B1571" s="716" t="s">
        <v>161</v>
      </c>
      <c r="C1571" s="716" t="s">
        <v>948</v>
      </c>
      <c r="D1571" s="716"/>
    </row>
    <row r="1572" spans="1:5">
      <c r="A1572" s="715">
        <f>IF(ster!$A$1=1,names!B1572,IF(ster!$A$1=2,names!C1572))</f>
        <v>0</v>
      </c>
      <c r="B1572" s="716"/>
      <c r="C1572" s="716"/>
      <c r="D1572" s="716"/>
    </row>
    <row r="1573" spans="1:5">
      <c r="A1573" s="715" t="str">
        <f>IF(ster!$A$1=1,names!B1573,IF(ster!$A$1=2,names!C1573))</f>
        <v>Przepływy pieniężne z działalności operacyjnej</v>
      </c>
      <c r="B1573" s="716" t="s">
        <v>80</v>
      </c>
      <c r="C1573" s="716" t="s">
        <v>1147</v>
      </c>
      <c r="D1573" s="716"/>
    </row>
    <row r="1574" spans="1:5">
      <c r="A1574" s="715" t="str">
        <f>IF(ster!$A$1=1,names!B1574,IF(ster!$A$1=2,names!C1574))</f>
        <v>Zysk przed opodatkowaniem</v>
      </c>
      <c r="B1574" s="716" t="s">
        <v>284</v>
      </c>
      <c r="C1574" s="716" t="s">
        <v>1374</v>
      </c>
      <c r="D1574" s="716"/>
    </row>
    <row r="1575" spans="1:5">
      <c r="A1575" s="715" t="str">
        <f>IF(ster!$A$1=1,names!B1575,IF(ster!$A$1=2,names!C1575))</f>
        <v>Korekty o pozycje:</v>
      </c>
      <c r="B1575" s="716" t="s">
        <v>90</v>
      </c>
      <c r="C1575" s="716" t="s">
        <v>1148</v>
      </c>
      <c r="D1575" s="716"/>
    </row>
    <row r="1576" spans="1:5" ht="32.25">
      <c r="A1576" s="715" t="str">
        <f>IF(ster!$A$1=1,names!B1576,IF(ster!$A$1=2,names!C1576))</f>
        <v>Udział w wyniku finansowym jednostek wycenianych metodą praw własności</v>
      </c>
      <c r="B1576" s="716" t="s">
        <v>24</v>
      </c>
      <c r="C1576" s="716" t="s">
        <v>1076</v>
      </c>
      <c r="D1576" s="716"/>
    </row>
    <row r="1577" spans="1:5">
      <c r="A1577" s="715" t="str">
        <f>IF(ster!$A$1=1,names!B1577,IF(ster!$A$1=2,names!C1577))</f>
        <v>Amortyzacja</v>
      </c>
      <c r="B1577" s="716" t="s">
        <v>91</v>
      </c>
      <c r="C1577" s="716" t="s">
        <v>1149</v>
      </c>
      <c r="D1577" s="716"/>
    </row>
    <row r="1578" spans="1:5">
      <c r="A1578" s="715" t="str">
        <f>IF(ster!$A$1=1,names!B1578,IF(ster!$A$1=2,names!C1578))</f>
        <v>(Zysk)/Strata z tytułu różnic kursowych</v>
      </c>
      <c r="B1578" s="716" t="s">
        <v>124</v>
      </c>
      <c r="C1578" s="716" t="s">
        <v>1408</v>
      </c>
      <c r="D1578" s="716"/>
    </row>
    <row r="1579" spans="1:5">
      <c r="A1579" s="715" t="str">
        <f>IF(ster!$A$1=1,names!B1579,IF(ster!$A$1=2,names!C1579))</f>
        <v>Odsetki netto</v>
      </c>
      <c r="B1579" s="716" t="s">
        <v>3</v>
      </c>
      <c r="C1579" s="716" t="s">
        <v>1409</v>
      </c>
      <c r="D1579" s="716"/>
    </row>
    <row r="1580" spans="1:5">
      <c r="A1580" s="715" t="str">
        <f>IF(ster!$A$1=1,names!B1580,IF(ster!$A$1=2,names!C1580))</f>
        <v>Dywidendy</v>
      </c>
      <c r="B1580" s="716" t="s">
        <v>19</v>
      </c>
      <c r="C1580" s="716" t="s">
        <v>1152</v>
      </c>
      <c r="D1580" s="716"/>
    </row>
    <row r="1581" spans="1:5">
      <c r="A1581" s="715" t="str">
        <f>IF(ster!$A$1=1,names!B1581,IF(ster!$A$1=2,names!C1581))</f>
        <v>(Zysk)/Strata na działalności inwestycyjnej, w tym:</v>
      </c>
      <c r="B1581" s="716" t="s">
        <v>325</v>
      </c>
      <c r="C1581" s="716" t="s">
        <v>1447</v>
      </c>
      <c r="D1581" s="716"/>
    </row>
    <row r="1582" spans="1:5" ht="48">
      <c r="A1582" s="715" t="str">
        <f>IF(ster!$A$1=1,names!B1582,IF(ster!$A$1=2,names!C1582))</f>
        <v>utworzenie/(odwrócenie) odpisów aktualizujących wartość rzeczowych aktywów trwałych, wartości niematerialnych i pozostałych składników majątku trwałego</v>
      </c>
      <c r="B1582" s="716" t="s">
        <v>357</v>
      </c>
      <c r="C1582" s="716" t="s">
        <v>1435</v>
      </c>
      <c r="D1582" s="716"/>
    </row>
    <row r="1583" spans="1:5">
      <c r="A1583" s="715" t="str">
        <f>IF(ster!$A$1=1,names!B1583,IF(ster!$A$1=2,names!C1583))</f>
        <v xml:space="preserve">Zmiana stanu rezerw </v>
      </c>
      <c r="B1583" s="716" t="s">
        <v>27</v>
      </c>
      <c r="C1583" s="716" t="s">
        <v>1154</v>
      </c>
      <c r="D1583" s="716"/>
    </row>
    <row r="1584" spans="1:5">
      <c r="A1584" s="715" t="str">
        <f>IF(ster!$A$1=1,names!B1584,IF(ster!$A$1=2,names!C1584))</f>
        <v>Zmiana stanu kapitału pracującego</v>
      </c>
      <c r="B1584" s="716" t="s">
        <v>112</v>
      </c>
      <c r="C1584" s="716" t="s">
        <v>1155</v>
      </c>
      <c r="D1584" s="716"/>
    </row>
    <row r="1585" spans="1:4">
      <c r="A1585" s="715" t="str">
        <f>IF(ster!$A$1=1,names!B1585,IF(ster!$A$1=2,names!C1585))</f>
        <v>zapasy</v>
      </c>
      <c r="B1585" s="716" t="s">
        <v>113</v>
      </c>
      <c r="C1585" s="716" t="s">
        <v>1156</v>
      </c>
      <c r="D1585" s="716"/>
    </row>
    <row r="1586" spans="1:4">
      <c r="A1586" s="715" t="str">
        <f>IF(ster!$A$1=1,names!B1586,IF(ster!$A$1=2,names!C1586))</f>
        <v>należności</v>
      </c>
      <c r="B1586" s="716" t="s">
        <v>114</v>
      </c>
      <c r="C1586" s="716" t="s">
        <v>1157</v>
      </c>
      <c r="D1586" s="716"/>
    </row>
    <row r="1587" spans="1:4">
      <c r="A1587" s="715" t="str">
        <f>IF(ster!$A$1=1,names!B1587,IF(ster!$A$1=2,names!C1587))</f>
        <v>zobowiązania</v>
      </c>
      <c r="B1587" s="716" t="s">
        <v>115</v>
      </c>
      <c r="C1587" s="716" t="s">
        <v>1158</v>
      </c>
      <c r="D1587" s="716"/>
    </row>
    <row r="1588" spans="1:4">
      <c r="A1588" s="715" t="str">
        <f>IF(ster!$A$1=1,names!B1588,IF(ster!$A$1=2,names!C1588))</f>
        <v>Pozostałe korekty, w tym:</v>
      </c>
      <c r="B1588" s="716" t="s">
        <v>320</v>
      </c>
      <c r="C1588" s="716" t="s">
        <v>1159</v>
      </c>
      <c r="D1588" s="716"/>
    </row>
    <row r="1589" spans="1:4">
      <c r="A1589" s="715" t="str">
        <f>IF(ster!$A$1=1,names!B1589,IF(ster!$A$1=2,names!C1589))</f>
        <v>nieodpłatnie otrzymane prawa majątkowe</v>
      </c>
      <c r="B1589" s="716" t="s">
        <v>323</v>
      </c>
      <c r="C1589" s="716" t="s">
        <v>1448</v>
      </c>
      <c r="D1589" s="716"/>
    </row>
    <row r="1590" spans="1:4">
      <c r="A1590" s="715" t="str">
        <f>IF(ster!$A$1=1,names!B1590,IF(ster!$A$1=2,names!C1590))</f>
        <v>Podatek dochodowy (zapłacony)</v>
      </c>
      <c r="B1590" s="716" t="s">
        <v>4</v>
      </c>
      <c r="C1590" s="716" t="s">
        <v>1164</v>
      </c>
      <c r="D1590" s="716"/>
    </row>
    <row r="1591" spans="1:4" ht="32.25">
      <c r="A1591" s="715" t="str">
        <f>IF(ster!$A$1=1,names!B1591,IF(ster!$A$1=2,names!C1591))</f>
        <v>Środki pieniężne netto z/(wykorzystane w) działalności operacyjnej</v>
      </c>
      <c r="B1591" s="716" t="s">
        <v>168</v>
      </c>
      <c r="C1591" s="716" t="s">
        <v>1449</v>
      </c>
      <c r="D1591" s="716"/>
    </row>
    <row r="1592" spans="1:4">
      <c r="A1592" s="715" t="str">
        <f>IF(ster!$A$1=1,names!B1592,IF(ster!$A$1=2,names!C1592))</f>
        <v>Przepływy pieniężne z działalności inwestycyjnej</v>
      </c>
      <c r="B1592" s="716" t="s">
        <v>46</v>
      </c>
      <c r="C1592" s="716" t="s">
        <v>1166</v>
      </c>
      <c r="D1592" s="716"/>
    </row>
    <row r="1593" spans="1:4" ht="48">
      <c r="A1593" s="715" t="str">
        <f>IF(ster!$A$1=1,names!B1593,IF(ster!$A$1=2,names!C1593))</f>
        <v>Nabycie składników rzeczowego majątku trwałego, 
wartości niematerialnych i praw wieczystego użytkowania gruntów</v>
      </c>
      <c r="B1593" s="716" t="s">
        <v>156</v>
      </c>
      <c r="C1593" s="716" t="s">
        <v>1413</v>
      </c>
      <c r="D1593" s="716"/>
    </row>
    <row r="1594" spans="1:4">
      <c r="A1594" s="715" t="str">
        <f>IF(ster!$A$1=1,names!B1594,IF(ster!$A$1=2,names!C1594))</f>
        <v>Nabycie akcji</v>
      </c>
      <c r="B1594" s="716" t="s">
        <v>345</v>
      </c>
      <c r="C1594" s="716" t="s">
        <v>1415</v>
      </c>
      <c r="D1594" s="716"/>
    </row>
    <row r="1595" spans="1:4" ht="48">
      <c r="A1595" s="715" t="str">
        <f>IF(ster!$A$1=1,names!B1595,IF(ster!$A$1=2,names!C1595))</f>
        <v>Sprzedaż składników rzeczowego majątku trwałego, 
wartości niematerialnych i praw wieczystego użytkowania gruntów</v>
      </c>
      <c r="B1595" s="716" t="s">
        <v>157</v>
      </c>
      <c r="C1595" s="716" t="s">
        <v>1414</v>
      </c>
      <c r="D1595" s="716"/>
    </row>
    <row r="1596" spans="1:4">
      <c r="A1596" s="715" t="str">
        <f>IF(ster!$A$1=1,names!B1596,IF(ster!$A$1=2,names!C1596))</f>
        <v>Dywidendy otrzymane</v>
      </c>
      <c r="B1596" s="716" t="s">
        <v>26</v>
      </c>
      <c r="C1596" s="716" t="s">
        <v>1172</v>
      </c>
      <c r="D1596" s="716"/>
    </row>
    <row r="1597" spans="1:4" ht="32.25">
      <c r="A1597" s="715" t="str">
        <f>IF(ster!$A$1=1,names!B1597,IF(ster!$A$1=2,names!C1597))</f>
        <v>Rozliczenie instrumentów pochodnych niewyznaczonych dla celów rachunkowości zabezpieczeń</v>
      </c>
      <c r="B1597" s="716" t="s">
        <v>322</v>
      </c>
      <c r="C1597" s="716" t="s">
        <v>1450</v>
      </c>
      <c r="D1597" s="716"/>
    </row>
    <row r="1598" spans="1:4">
      <c r="A1598" s="715" t="str">
        <f>IF(ster!$A$1=1,names!B1598,IF(ster!$A$1=2,names!C1598))</f>
        <v>Pozostałe</v>
      </c>
      <c r="B1598" s="716" t="s">
        <v>47</v>
      </c>
      <c r="C1598" s="716" t="s">
        <v>935</v>
      </c>
      <c r="D1598" s="716"/>
    </row>
    <row r="1599" spans="1:4" ht="32.25">
      <c r="A1599" s="715" t="str">
        <f>IF(ster!$A$1=1,names!B1599,IF(ster!$A$1=2,names!C1599))</f>
        <v>Środki pieniężne netto z/(wykorzystane w) działalności inwestycyjnej</v>
      </c>
      <c r="B1599" s="716" t="s">
        <v>294</v>
      </c>
      <c r="C1599" s="716" t="s">
        <v>1175</v>
      </c>
      <c r="D1599" s="716"/>
    </row>
    <row r="1600" spans="1:4">
      <c r="A1600" s="715" t="str">
        <f>IF(ster!$A$1=1,names!B1600,IF(ster!$A$1=2,names!C1600))</f>
        <v>Przepływy pieniężne z działalności finansowej</v>
      </c>
      <c r="B1600" s="716" t="s">
        <v>48</v>
      </c>
      <c r="C1600" s="716" t="s">
        <v>1176</v>
      </c>
      <c r="D1600" s="716"/>
    </row>
    <row r="1601" spans="1:4">
      <c r="A1601" s="715" t="str">
        <f>IF(ster!$A$1=1,names!B1601,IF(ster!$A$1=2,names!C1601))</f>
        <v>Wykup akcji niekontrolujących Unipetrol a.s.</v>
      </c>
      <c r="B1601" s="716" t="s">
        <v>351</v>
      </c>
      <c r="C1601" s="716" t="s">
        <v>1451</v>
      </c>
      <c r="D1601" s="716"/>
    </row>
    <row r="1602" spans="1:4" ht="19.149999999999999" customHeight="1">
      <c r="A1602" s="715" t="str">
        <f>IF(ster!$A$1=1,names!B1602,IF(ster!$A$1=2,names!C1602))</f>
        <v>Wpływy z otrzymanych kredytów i pożyczek</v>
      </c>
      <c r="B1602" s="716" t="s">
        <v>1</v>
      </c>
      <c r="C1602" s="716" t="s">
        <v>1421</v>
      </c>
      <c r="D1602" s="716"/>
    </row>
    <row r="1603" spans="1:4">
      <c r="A1603" s="715" t="str">
        <f>IF(ster!$A$1=1,names!B1603,IF(ster!$A$1=2,names!C1603))</f>
        <v>Emisja obligacji</v>
      </c>
      <c r="B1603" s="716" t="s">
        <v>273</v>
      </c>
      <c r="C1603" s="716" t="s">
        <v>1441</v>
      </c>
      <c r="D1603" s="716"/>
    </row>
    <row r="1604" spans="1:4">
      <c r="A1604" s="715" t="str">
        <f>IF(ster!$A$1=1,names!B1604,IF(ster!$A$1=2,names!C1604))</f>
        <v>Spłaty kredytów i pożyczek</v>
      </c>
      <c r="B1604" s="716" t="s">
        <v>2</v>
      </c>
      <c r="C1604" s="716" t="s">
        <v>1442</v>
      </c>
      <c r="D1604" s="716"/>
    </row>
    <row r="1605" spans="1:4">
      <c r="A1605" s="715" t="str">
        <f>IF(ster!$A$1=1,names!B1605,IF(ster!$A$1=2,names!C1605))</f>
        <v>Wykup obligacji</v>
      </c>
      <c r="B1605" s="716" t="s">
        <v>318</v>
      </c>
      <c r="C1605" s="716" t="s">
        <v>1179</v>
      </c>
      <c r="D1605" s="716"/>
    </row>
    <row r="1606" spans="1:4">
      <c r="A1606" s="715" t="str">
        <f>IF(ster!$A$1=1,names!B1606,IF(ster!$A$1=2,names!C1606))</f>
        <v xml:space="preserve">Odsetki zapłacone </v>
      </c>
      <c r="B1606" s="716" t="s">
        <v>132</v>
      </c>
      <c r="C1606" s="716" t="s">
        <v>1443</v>
      </c>
      <c r="D1606" s="716"/>
    </row>
    <row r="1607" spans="1:4">
      <c r="A1607" s="715" t="str">
        <f>IF(ster!$A$1=1,names!B1607,IF(ster!$A$1=2,names!C1607))</f>
        <v>Dywidendy wypłacone</v>
      </c>
      <c r="B1607" s="716" t="s">
        <v>127</v>
      </c>
      <c r="C1607" s="716" t="s">
        <v>1182</v>
      </c>
      <c r="D1607" s="716"/>
    </row>
    <row r="1608" spans="1:4">
      <c r="A1608" s="715" t="str">
        <f>IF(ster!$A$1=1,names!B1608,IF(ster!$A$1=2,names!C1608))</f>
        <v>akcjonariuszom jednostki dominującej</v>
      </c>
      <c r="B1608" s="716" t="s">
        <v>297</v>
      </c>
      <c r="C1608" s="716" t="s">
        <v>1452</v>
      </c>
      <c r="D1608" s="716"/>
    </row>
    <row r="1609" spans="1:4">
      <c r="A1609" s="715" t="str">
        <f>IF(ster!$A$1=1,names!B1609,IF(ster!$A$1=2,names!C1609))</f>
        <v xml:space="preserve">akcjonariuszom niekontrolującym </v>
      </c>
      <c r="B1609" s="716" t="s">
        <v>298</v>
      </c>
      <c r="C1609" s="716" t="s">
        <v>1453</v>
      </c>
      <c r="D1609" s="716"/>
    </row>
    <row r="1610" spans="1:4">
      <c r="A1610" s="715" t="str">
        <f>IF(ster!$A$1=1,names!B1610,IF(ster!$A$1=2,names!C1610))</f>
        <v>Płatności  zobowiązań  z  tytułu  umów  leasingu  finansowego</v>
      </c>
      <c r="B1610" s="716" t="s">
        <v>121</v>
      </c>
      <c r="C1610" s="716" t="s">
        <v>1426</v>
      </c>
      <c r="D1610" s="716"/>
    </row>
    <row r="1611" spans="1:4">
      <c r="A1611" s="715" t="str">
        <f>IF(ster!$A$1=1,names!B1611,IF(ster!$A$1=2,names!C1611))</f>
        <v>Pozostałe</v>
      </c>
      <c r="B1611" s="716" t="s">
        <v>47</v>
      </c>
      <c r="C1611" s="716" t="s">
        <v>935</v>
      </c>
      <c r="D1611" s="716"/>
    </row>
    <row r="1612" spans="1:4" ht="32.25">
      <c r="A1612" s="715" t="str">
        <f>IF(ster!$A$1=1,names!B1612,IF(ster!$A$1=2,names!C1612))</f>
        <v>Środki pieniężne netto z/(wykorzystane w) działalności finansowej</v>
      </c>
      <c r="B1612" s="716" t="s">
        <v>145</v>
      </c>
      <c r="C1612" s="716" t="s">
        <v>1444</v>
      </c>
      <c r="D1612" s="716"/>
    </row>
    <row r="1613" spans="1:4">
      <c r="A1613" s="715">
        <f>IF(ster!$A$1=1,names!B1613,IF(ster!$A$1=2,names!C1613))</f>
        <v>0</v>
      </c>
      <c r="B1613" s="716"/>
      <c r="C1613" s="716"/>
      <c r="D1613" s="716"/>
    </row>
    <row r="1614" spans="1:4" ht="32.25">
      <c r="A1614" s="715" t="str">
        <f>IF(ster!$A$1=1,names!B1614,IF(ster!$A$1=2,names!C1614))</f>
        <v>Zwiększenie/(Zmniejszenie) netto stanu środków pieniężnych i ich ekwiwalentów</v>
      </c>
      <c r="B1614" s="716" t="s">
        <v>253</v>
      </c>
      <c r="C1614" s="716" t="s">
        <v>1445</v>
      </c>
      <c r="D1614" s="716"/>
    </row>
    <row r="1615" spans="1:4" ht="32.25">
      <c r="A1615" s="715" t="str">
        <f>IF(ster!$A$1=1,names!B1615,IF(ster!$A$1=2,names!C1615))</f>
        <v>Zmiana stanu środków pieniężnych i ich ekwiwalentów z tytułu różnic kursowych</v>
      </c>
      <c r="B1615" s="716" t="s">
        <v>5</v>
      </c>
      <c r="C1615" s="716" t="s">
        <v>1431</v>
      </c>
      <c r="D1615" s="716"/>
    </row>
    <row r="1616" spans="1:4">
      <c r="A1616" s="715" t="str">
        <f>IF(ster!$A$1=1,names!B1616,IF(ster!$A$1=2,names!C1616))</f>
        <v>Środki pieniężne i ich ekwiwalenty na początek okresu</v>
      </c>
      <c r="B1616" s="716" t="s">
        <v>299</v>
      </c>
      <c r="C1616" s="716" t="s">
        <v>1432</v>
      </c>
      <c r="D1616" s="716"/>
    </row>
    <row r="1617" spans="1:5">
      <c r="A1617" s="715">
        <f>IF(ster!$A$1=1,names!B1617,IF(ster!$A$1=2,names!C1617))</f>
        <v>0</v>
      </c>
      <c r="B1617" s="716"/>
      <c r="C1617" s="716"/>
      <c r="D1617" s="716"/>
    </row>
    <row r="1618" spans="1:5">
      <c r="A1618" s="715" t="str">
        <f>IF(ster!$A$1=1,names!B1618,IF(ster!$A$1=2,names!C1618))</f>
        <v>Środki pieniężne i ich ekwiwalenty na koniec okresu</v>
      </c>
      <c r="B1618" s="716" t="s">
        <v>6</v>
      </c>
      <c r="C1618" s="716" t="s">
        <v>1433</v>
      </c>
      <c r="D1618" s="716"/>
    </row>
    <row r="1619" spans="1:5" ht="79.5">
      <c r="A1619" s="715" t="str">
        <f>IF(ster!$A$1=1,names!B1619,IF(ster!$A$1=2,names!C1619))</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B1619" s="716" t="s">
        <v>361</v>
      </c>
      <c r="C1619" s="716" t="s">
        <v>1379</v>
      </c>
      <c r="D1619" s="716"/>
    </row>
    <row r="1620" spans="1:5" ht="32.25">
      <c r="A1620" s="715" t="str">
        <f>IF(ster!$A$1=1,names!B1620,IF(ster!$A$1=2,names!C1620))</f>
        <v>IV kw.
2018 *</v>
      </c>
      <c r="B1620" s="716" t="s">
        <v>355</v>
      </c>
      <c r="C1620" s="716" t="s">
        <v>1857</v>
      </c>
      <c r="D1620" s="716"/>
    </row>
    <row r="1621" spans="1:5" ht="32.25">
      <c r="A1621" s="715" t="str">
        <f>IF(ster!$A$1=1,names!B1621,IF(ster!$A$1=2,names!C1621))</f>
        <v>12 m-cy
2018 *</v>
      </c>
      <c r="B1621" s="716" t="s">
        <v>356</v>
      </c>
      <c r="C1621" s="716" t="s">
        <v>1633</v>
      </c>
      <c r="D1621" s="716"/>
    </row>
    <row r="1622" spans="1:5">
      <c r="A1622" s="715">
        <f>IF(ster!$A$1=1,names!B1622,IF(ster!$A$1=2,names!C1622))</f>
        <v>0</v>
      </c>
      <c r="B1622" s="716"/>
      <c r="C1622" s="716"/>
      <c r="D1622" s="716"/>
    </row>
    <row r="1623" spans="1:5">
      <c r="A1623" s="715" t="str">
        <f>IF(ster!$A$1=1,names!B1623,IF(ster!$A$1=2,names!C1623))</f>
        <v>Skonsolidowane sprawozdanie z przepływów pieniężnych</v>
      </c>
      <c r="B1623" s="717" t="s">
        <v>267</v>
      </c>
      <c r="C1623" s="716" t="s">
        <v>1146</v>
      </c>
      <c r="D1623" s="716"/>
      <c r="E1623" s="709" t="s">
        <v>1461</v>
      </c>
    </row>
    <row r="1624" spans="1:5">
      <c r="A1624" s="715">
        <f>IF(ster!$A$1=1,names!B1624,IF(ster!$A$1=2,names!C1624))</f>
        <v>0</v>
      </c>
      <c r="B1624" s="716"/>
      <c r="C1624" s="716"/>
      <c r="D1624" s="716"/>
    </row>
    <row r="1625" spans="1:5" ht="32.25">
      <c r="A1625" s="715" t="str">
        <f>IF(ster!$A$1=1,names!B1625,IF(ster!$A$1=2,names!C1625))</f>
        <v>Wyszczególnienie, 
mln PLN</v>
      </c>
      <c r="B1625" s="716" t="s">
        <v>161</v>
      </c>
      <c r="C1625" s="716" t="s">
        <v>948</v>
      </c>
      <c r="D1625" s="716"/>
    </row>
    <row r="1626" spans="1:5">
      <c r="A1626" s="715">
        <f>IF(ster!$A$1=1,names!B1626,IF(ster!$A$1=2,names!C1626))</f>
        <v>0</v>
      </c>
      <c r="B1626" s="716"/>
      <c r="C1626" s="716"/>
      <c r="D1626" s="716"/>
    </row>
    <row r="1627" spans="1:5">
      <c r="A1627" s="715" t="str">
        <f>IF(ster!$A$1=1,names!B1627,IF(ster!$A$1=2,names!C1627))</f>
        <v>Przepływy pieniężne z działalności operacyjnej</v>
      </c>
      <c r="B1627" s="716" t="s">
        <v>80</v>
      </c>
      <c r="C1627" s="716" t="s">
        <v>1147</v>
      </c>
      <c r="D1627" s="716"/>
    </row>
    <row r="1628" spans="1:5">
      <c r="A1628" s="715" t="str">
        <f>IF(ster!$A$1=1,names!B1628,IF(ster!$A$1=2,names!C1628))</f>
        <v>Zysk przed opodatkowaniem</v>
      </c>
      <c r="B1628" s="716" t="s">
        <v>284</v>
      </c>
      <c r="C1628" s="716" t="s">
        <v>1374</v>
      </c>
      <c r="D1628" s="716"/>
    </row>
    <row r="1629" spans="1:5">
      <c r="A1629" s="715" t="str">
        <f>IF(ster!$A$1=1,names!B1629,IF(ster!$A$1=2,names!C1629))</f>
        <v>Korekty o pozycje:</v>
      </c>
      <c r="B1629" s="716" t="s">
        <v>90</v>
      </c>
      <c r="C1629" s="716" t="s">
        <v>1148</v>
      </c>
      <c r="D1629" s="716"/>
    </row>
    <row r="1630" spans="1:5" ht="32.25">
      <c r="A1630" s="715" t="str">
        <f>IF(ster!$A$1=1,names!B1630,IF(ster!$A$1=2,names!C1630))</f>
        <v>Udział w wyniku finansowym jednostek wycenianych metodą praw własności</v>
      </c>
      <c r="B1630" s="716" t="s">
        <v>24</v>
      </c>
      <c r="C1630" s="716" t="s">
        <v>1076</v>
      </c>
      <c r="D1630" s="716"/>
    </row>
    <row r="1631" spans="1:5">
      <c r="A1631" s="715" t="str">
        <f>IF(ster!$A$1=1,names!B1631,IF(ster!$A$1=2,names!C1631))</f>
        <v>Amortyzacja</v>
      </c>
      <c r="B1631" s="716" t="s">
        <v>91</v>
      </c>
      <c r="C1631" s="716" t="s">
        <v>1149</v>
      </c>
      <c r="D1631" s="716"/>
    </row>
    <row r="1632" spans="1:5">
      <c r="A1632" s="715" t="str">
        <f>IF(ster!$A$1=1,names!B1632,IF(ster!$A$1=2,names!C1632))</f>
        <v>(Zysk)/Strata z tytułu różnic kursowych</v>
      </c>
      <c r="B1632" s="716" t="s">
        <v>124</v>
      </c>
      <c r="C1632" s="716" t="s">
        <v>1150</v>
      </c>
      <c r="D1632" s="716"/>
    </row>
    <row r="1633" spans="1:4">
      <c r="A1633" s="715" t="str">
        <f>IF(ster!$A$1=1,names!B1633,IF(ster!$A$1=2,names!C1633))</f>
        <v>Odsetki netto</v>
      </c>
      <c r="B1633" s="716" t="s">
        <v>3</v>
      </c>
      <c r="C1633" s="716" t="s">
        <v>1151</v>
      </c>
      <c r="D1633" s="716"/>
    </row>
    <row r="1634" spans="1:4">
      <c r="A1634" s="715" t="str">
        <f>IF(ster!$A$1=1,names!B1634,IF(ster!$A$1=2,names!C1634))</f>
        <v>Dywidendy</v>
      </c>
      <c r="B1634" s="716" t="s">
        <v>19</v>
      </c>
      <c r="C1634" s="716" t="s">
        <v>1152</v>
      </c>
      <c r="D1634" s="716"/>
    </row>
    <row r="1635" spans="1:4">
      <c r="A1635" s="715" t="str">
        <f>IF(ster!$A$1=1,names!B1635,IF(ster!$A$1=2,names!C1635))</f>
        <v>(Zysk)/Strata na działalności inwestycyjnej</v>
      </c>
      <c r="B1635" s="716" t="s">
        <v>144</v>
      </c>
      <c r="C1635" s="716" t="s">
        <v>1153</v>
      </c>
      <c r="D1635" s="716"/>
    </row>
    <row r="1636" spans="1:4" ht="63.75">
      <c r="A1636" s="715" t="str">
        <f>IF(ster!$A$1=1,names!B1636,IF(ster!$A$1=2,names!C1636))</f>
        <v>utworzenie/(odwrócenie) odpisów aktualizujących wartość rzeczowych aktywów trwałych, 
wartości niematerialnych i pozostałych składników majątku trwałego</v>
      </c>
      <c r="B1636" s="716" t="s">
        <v>397</v>
      </c>
      <c r="C1636" s="716" t="s">
        <v>1462</v>
      </c>
      <c r="D1636" s="716"/>
    </row>
    <row r="1637" spans="1:4">
      <c r="A1637" s="715" t="str">
        <f>IF(ster!$A$1=1,names!B1637,IF(ster!$A$1=2,names!C1637))</f>
        <v>rozliczenie i wycena pochodnych instrumentów finansowych</v>
      </c>
      <c r="B1637" s="716" t="s">
        <v>399</v>
      </c>
      <c r="C1637" s="716" t="s">
        <v>1463</v>
      </c>
      <c r="D1637" s="716"/>
    </row>
    <row r="1638" spans="1:4">
      <c r="A1638" s="715" t="str">
        <f>IF(ster!$A$1=1,names!B1638,IF(ster!$A$1=2,names!C1638))</f>
        <v xml:space="preserve">Zmiana stanu rezerw </v>
      </c>
      <c r="B1638" s="716" t="s">
        <v>27</v>
      </c>
      <c r="C1638" s="716" t="s">
        <v>1154</v>
      </c>
      <c r="D1638" s="716"/>
    </row>
    <row r="1639" spans="1:4">
      <c r="A1639" s="715" t="str">
        <f>IF(ster!$A$1=1,names!B1639,IF(ster!$A$1=2,names!C1639))</f>
        <v>Zmiana stanu kapitału pracującego</v>
      </c>
      <c r="B1639" s="716" t="s">
        <v>112</v>
      </c>
      <c r="C1639" s="716" t="s">
        <v>1155</v>
      </c>
      <c r="D1639" s="716"/>
    </row>
    <row r="1640" spans="1:4">
      <c r="A1640" s="715" t="str">
        <f>IF(ster!$A$1=1,names!B1640,IF(ster!$A$1=2,names!C1640))</f>
        <v>zapasy</v>
      </c>
      <c r="B1640" s="716" t="s">
        <v>113</v>
      </c>
      <c r="C1640" s="716" t="s">
        <v>1156</v>
      </c>
      <c r="D1640" s="716"/>
    </row>
    <row r="1641" spans="1:4">
      <c r="A1641" s="715" t="str">
        <f>IF(ster!$A$1=1,names!B1641,IF(ster!$A$1=2,names!C1641))</f>
        <v>należności</v>
      </c>
      <c r="B1641" s="716" t="s">
        <v>114</v>
      </c>
      <c r="C1641" s="716" t="s">
        <v>1157</v>
      </c>
      <c r="D1641" s="716"/>
    </row>
    <row r="1642" spans="1:4">
      <c r="A1642" s="715" t="str">
        <f>IF(ster!$A$1=1,names!B1642,IF(ster!$A$1=2,names!C1642))</f>
        <v>zobowiązania</v>
      </c>
      <c r="B1642" s="716" t="s">
        <v>115</v>
      </c>
      <c r="C1642" s="716" t="s">
        <v>1158</v>
      </c>
      <c r="D1642" s="716"/>
    </row>
    <row r="1643" spans="1:4">
      <c r="A1643" s="715" t="str">
        <f>IF(ster!$A$1=1,names!B1643,IF(ster!$A$1=2,names!C1643))</f>
        <v>Pozostałe korekty, w tym:</v>
      </c>
      <c r="B1643" s="716" t="s">
        <v>320</v>
      </c>
      <c r="C1643" s="716" t="s">
        <v>1159</v>
      </c>
      <c r="D1643" s="716"/>
    </row>
    <row r="1644" spans="1:4">
      <c r="A1644" s="715" t="str">
        <f>IF(ster!$A$1=1,names!B1644,IF(ster!$A$1=2,names!C1644))</f>
        <v>nieodpłatnie otrzymane prawa majątkowe</v>
      </c>
      <c r="B1644" s="716" t="s">
        <v>323</v>
      </c>
      <c r="C1644" s="716" t="s">
        <v>1448</v>
      </c>
      <c r="D1644" s="716"/>
    </row>
    <row r="1645" spans="1:4">
      <c r="A1645" s="715" t="str">
        <f>IF(ster!$A$1=1,names!B1645,IF(ster!$A$1=2,names!C1645))</f>
        <v>depozyty zabezpieczające</v>
      </c>
      <c r="B1645" s="716" t="s">
        <v>400</v>
      </c>
      <c r="C1645" s="716" t="s">
        <v>1161</v>
      </c>
      <c r="D1645" s="716"/>
    </row>
    <row r="1646" spans="1:4" ht="48">
      <c r="A1646" s="715" t="str">
        <f>IF(ster!$A$1=1,names!B1646,IF(ster!$A$1=2,names!C1646))</f>
        <v>zmiana stanu rozrachunków z tytułu rozliczonych instrumentów pochodnych niewyznaczonych dla celów rachunkowości zabezpieczeń</v>
      </c>
      <c r="B1646" s="716" t="s">
        <v>401</v>
      </c>
      <c r="C1646" s="716" t="s">
        <v>1464</v>
      </c>
      <c r="D1646" s="716"/>
    </row>
    <row r="1647" spans="1:4">
      <c r="A1647" s="715" t="str">
        <f>IF(ster!$A$1=1,names!B1647,IF(ster!$A$1=2,names!C1647))</f>
        <v>Podatek dochodowy (zapłacony)</v>
      </c>
      <c r="B1647" s="716" t="s">
        <v>4</v>
      </c>
      <c r="C1647" s="716" t="s">
        <v>1164</v>
      </c>
      <c r="D1647" s="716"/>
    </row>
    <row r="1648" spans="1:4" ht="32.25">
      <c r="A1648" s="715" t="str">
        <f>IF(ster!$A$1=1,names!B1648,IF(ster!$A$1=2,names!C1648))</f>
        <v>Środki pieniężne netto z/(wykorzystane w) działalności operacyjnej</v>
      </c>
      <c r="B1648" s="716" t="s">
        <v>168</v>
      </c>
      <c r="C1648" s="716" t="s">
        <v>1165</v>
      </c>
      <c r="D1648" s="716"/>
    </row>
    <row r="1649" spans="1:4">
      <c r="A1649" s="715" t="str">
        <f>IF(ster!$A$1=1,names!B1649,IF(ster!$A$1=2,names!C1649))</f>
        <v>Przepływy pieniężne z działalności inwestycyjnej</v>
      </c>
      <c r="B1649" s="716" t="s">
        <v>46</v>
      </c>
      <c r="C1649" s="716" t="s">
        <v>1166</v>
      </c>
      <c r="D1649" s="716"/>
    </row>
    <row r="1650" spans="1:4" ht="48">
      <c r="A1650" s="715" t="str">
        <f>IF(ster!$A$1=1,names!B1650,IF(ster!$A$1=2,names!C1650))</f>
        <v>Nabycie składników rzeczowego majątku trwałego, 
wartości niematerialnych i aktywów z tytułu praw do użytkowania</v>
      </c>
      <c r="B1650" s="716" t="s">
        <v>382</v>
      </c>
      <c r="C1650" s="716" t="s">
        <v>1465</v>
      </c>
      <c r="D1650" s="716"/>
    </row>
    <row r="1651" spans="1:4" ht="48">
      <c r="A1651" s="715" t="str">
        <f>IF(ster!$A$1=1,names!B1651,IF(ster!$A$1=2,names!C1651))</f>
        <v>Sprzedaż składników rzeczowego majątku trwałego, 
wartości niematerialnych i aktywów z tytułu praw do użytkowania</v>
      </c>
      <c r="B1651" s="716" t="s">
        <v>383</v>
      </c>
      <c r="C1651" s="716" t="s">
        <v>1466</v>
      </c>
      <c r="D1651" s="716"/>
    </row>
    <row r="1652" spans="1:4">
      <c r="A1652" s="715" t="str">
        <f>IF(ster!$A$1=1,names!B1652,IF(ster!$A$1=2,names!C1652))</f>
        <v>Dywidendy otrzymane</v>
      </c>
      <c r="B1652" s="716" t="s">
        <v>26</v>
      </c>
      <c r="C1652" s="716" t="s">
        <v>1172</v>
      </c>
      <c r="D1652" s="716"/>
    </row>
    <row r="1653" spans="1:4" ht="32.25">
      <c r="A1653" s="715" t="str">
        <f>IF(ster!$A$1=1,names!B1653,IF(ster!$A$1=2,names!C1653))</f>
        <v>Rozliczenie instrumentów pochodnych niewyznaczonych dla celów rachunkowości zabezpieczeń</v>
      </c>
      <c r="B1653" s="716" t="s">
        <v>322</v>
      </c>
      <c r="C1653" s="716" t="s">
        <v>1450</v>
      </c>
      <c r="D1653" s="716"/>
    </row>
    <row r="1654" spans="1:4">
      <c r="A1654" s="715" t="str">
        <f>IF(ster!$A$1=1,names!B1654,IF(ster!$A$1=2,names!C1654))</f>
        <v>Pozostałe</v>
      </c>
      <c r="B1654" s="716" t="s">
        <v>47</v>
      </c>
      <c r="C1654" s="716" t="s">
        <v>935</v>
      </c>
      <c r="D1654" s="716"/>
    </row>
    <row r="1655" spans="1:4" ht="32.25">
      <c r="A1655" s="715" t="str">
        <f>IF(ster!$A$1=1,names!B1655,IF(ster!$A$1=2,names!C1655))</f>
        <v>Środki pieniężne netto z/(wykorzystane w) działalności inwestycyjnej</v>
      </c>
      <c r="B1655" s="716" t="s">
        <v>294</v>
      </c>
      <c r="C1655" s="716" t="s">
        <v>1175</v>
      </c>
      <c r="D1655" s="716"/>
    </row>
    <row r="1656" spans="1:4">
      <c r="A1656" s="715" t="str">
        <f>IF(ster!$A$1=1,names!B1656,IF(ster!$A$1=2,names!C1656))</f>
        <v>Przepływy pieniężne z działalności finansowej</v>
      </c>
      <c r="B1656" s="716" t="s">
        <v>48</v>
      </c>
      <c r="C1656" s="716" t="s">
        <v>1176</v>
      </c>
      <c r="D1656" s="716"/>
    </row>
    <row r="1657" spans="1:4" ht="32.25">
      <c r="A1657" s="715" t="str">
        <f>IF(ster!$A$1=1,names!B1657,IF(ster!$A$1=2,names!C1657))</f>
        <v>Zmiana środków pieniężnych związana z wykupem akcjonariuszy niekontrolujących UNIPETROL, a.s.</v>
      </c>
      <c r="B1657" s="716" t="s">
        <v>384</v>
      </c>
      <c r="C1657" s="716" t="s">
        <v>1467</v>
      </c>
      <c r="D1657" s="716"/>
    </row>
    <row r="1658" spans="1:4">
      <c r="A1658" s="715" t="str">
        <f>IF(ster!$A$1=1,names!B1658,IF(ster!$A$1=2,names!C1658))</f>
        <v>Wpływy z otrzymanych kredytów</v>
      </c>
      <c r="B1658" s="716" t="s">
        <v>393</v>
      </c>
      <c r="C1658" s="716" t="s">
        <v>1468</v>
      </c>
      <c r="D1658" s="716"/>
    </row>
    <row r="1659" spans="1:4">
      <c r="A1659" s="715" t="str">
        <f>IF(ster!$A$1=1,names!B1659,IF(ster!$A$1=2,names!C1659))</f>
        <v>Spłaty kredytów</v>
      </c>
      <c r="B1659" s="716" t="s">
        <v>376</v>
      </c>
      <c r="C1659" s="716" t="s">
        <v>1469</v>
      </c>
      <c r="D1659" s="716"/>
    </row>
    <row r="1660" spans="1:4">
      <c r="A1660" s="715" t="str">
        <f>IF(ster!$A$1=1,names!B1660,IF(ster!$A$1=2,names!C1660))</f>
        <v>Wykup obligacji</v>
      </c>
      <c r="B1660" s="716" t="s">
        <v>318</v>
      </c>
      <c r="C1660" s="716" t="s">
        <v>1179</v>
      </c>
      <c r="D1660" s="716"/>
    </row>
    <row r="1661" spans="1:4">
      <c r="A1661" s="715" t="str">
        <f>IF(ster!$A$1=1,names!B1661,IF(ster!$A$1=2,names!C1661))</f>
        <v xml:space="preserve">Odsetki zapłacone od kredytów i obligacji </v>
      </c>
      <c r="B1661" s="716" t="s">
        <v>379</v>
      </c>
      <c r="C1661" s="716" t="s">
        <v>1470</v>
      </c>
      <c r="D1661" s="716"/>
    </row>
    <row r="1662" spans="1:4">
      <c r="A1662" s="715" t="str">
        <f>IF(ster!$A$1=1,names!B1662,IF(ster!$A$1=2,names!C1662))</f>
        <v>Odsetki zapłacone z tytułu leasingu</v>
      </c>
      <c r="B1662" s="716" t="s">
        <v>380</v>
      </c>
      <c r="C1662" s="716" t="s">
        <v>1181</v>
      </c>
      <c r="D1662" s="716"/>
    </row>
    <row r="1663" spans="1:4">
      <c r="A1663" s="715" t="str">
        <f>IF(ster!$A$1=1,names!B1663,IF(ster!$A$1=2,names!C1663))</f>
        <v>Dywidendy wypłacone</v>
      </c>
      <c r="B1663" s="716" t="s">
        <v>127</v>
      </c>
      <c r="C1663" s="716" t="s">
        <v>1182</v>
      </c>
      <c r="D1663" s="716"/>
    </row>
    <row r="1664" spans="1:4">
      <c r="A1664" s="715" t="str">
        <f>IF(ster!$A$1=1,names!B1664,IF(ster!$A$1=2,names!C1664))</f>
        <v>akcjonariuszom jednostki dominującej</v>
      </c>
      <c r="B1664" s="716" t="s">
        <v>297</v>
      </c>
      <c r="C1664" s="716" t="s">
        <v>1452</v>
      </c>
      <c r="D1664" s="716"/>
    </row>
    <row r="1665" spans="1:5">
      <c r="A1665" s="715" t="str">
        <f>IF(ster!$A$1=1,names!B1665,IF(ster!$A$1=2,names!C1665))</f>
        <v>Płatności zobowiązań z tytułu umów leasingu</v>
      </c>
      <c r="B1665" s="716" t="s">
        <v>378</v>
      </c>
      <c r="C1665" s="716" t="s">
        <v>1426</v>
      </c>
      <c r="D1665" s="716"/>
    </row>
    <row r="1666" spans="1:5">
      <c r="A1666" s="715" t="str">
        <f>IF(ster!$A$1=1,names!B1666,IF(ster!$A$1=2,names!C1666))</f>
        <v>opłaty z tytułu leasingu krótkoterminowego i niskocennego</v>
      </c>
      <c r="B1666" s="716" t="s">
        <v>398</v>
      </c>
      <c r="C1666" s="716" t="s">
        <v>1471</v>
      </c>
      <c r="D1666" s="716"/>
    </row>
    <row r="1667" spans="1:5">
      <c r="A1667" s="715" t="str">
        <f>IF(ster!$A$1=1,names!B1667,IF(ster!$A$1=2,names!C1667))</f>
        <v>Pozostałe</v>
      </c>
      <c r="B1667" s="716" t="s">
        <v>47</v>
      </c>
      <c r="C1667" s="716" t="s">
        <v>935</v>
      </c>
      <c r="D1667" s="716"/>
    </row>
    <row r="1668" spans="1:5" ht="32.25">
      <c r="A1668" s="715" t="str">
        <f>IF(ster!$A$1=1,names!B1668,IF(ster!$A$1=2,names!C1668))</f>
        <v>Środki pieniężne netto z/(wykorzystane w) działalności finansowej</v>
      </c>
      <c r="B1668" s="716" t="s">
        <v>145</v>
      </c>
      <c r="C1668" s="716" t="s">
        <v>1185</v>
      </c>
      <c r="D1668" s="716"/>
    </row>
    <row r="1669" spans="1:5">
      <c r="A1669" s="715">
        <f>IF(ster!$A$1=1,names!B1669,IF(ster!$A$1=2,names!C1669))</f>
        <v>0</v>
      </c>
      <c r="B1669" s="716"/>
      <c r="C1669" s="716"/>
      <c r="D1669" s="716"/>
    </row>
    <row r="1670" spans="1:5" ht="32.25">
      <c r="A1670" s="715" t="str">
        <f>IF(ster!$A$1=1,names!B1670,IF(ster!$A$1=2,names!C1670))</f>
        <v>Zwiększenie/(Zmniejszenie) netto stanu środków pieniężnych i ich ekwiwalentów</v>
      </c>
      <c r="B1670" s="716" t="s">
        <v>253</v>
      </c>
      <c r="C1670" s="716" t="s">
        <v>1430</v>
      </c>
      <c r="D1670" s="716"/>
    </row>
    <row r="1671" spans="1:5" ht="32.25">
      <c r="A1671" s="715" t="str">
        <f>IF(ster!$A$1=1,names!B1671,IF(ster!$A$1=2,names!C1671))</f>
        <v>Zmiana stanu środków pieniężnych i ich ekwiwalentów z tytułu różnic kursowych</v>
      </c>
      <c r="B1671" s="716" t="s">
        <v>5</v>
      </c>
      <c r="C1671" s="716" t="s">
        <v>1187</v>
      </c>
      <c r="D1671" s="716"/>
    </row>
    <row r="1672" spans="1:5">
      <c r="A1672" s="715" t="str">
        <f>IF(ster!$A$1=1,names!B1672,IF(ster!$A$1=2,names!C1672))</f>
        <v>Środki pieniężne i ich ekwiwalenty na początek okresu</v>
      </c>
      <c r="B1672" s="716" t="s">
        <v>299</v>
      </c>
      <c r="C1672" s="716" t="s">
        <v>1432</v>
      </c>
      <c r="D1672" s="716"/>
    </row>
    <row r="1673" spans="1:5">
      <c r="A1673" s="715">
        <f>IF(ster!$A$1=1,names!B1673,IF(ster!$A$1=2,names!C1673))</f>
        <v>0</v>
      </c>
      <c r="B1673" s="716"/>
      <c r="C1673" s="716"/>
      <c r="D1673" s="716"/>
    </row>
    <row r="1674" spans="1:5">
      <c r="A1674" s="715" t="str">
        <f>IF(ster!$A$1=1,names!B1674,IF(ster!$A$1=2,names!C1674))</f>
        <v>Środki pieniężne i ich ekwiwalenty na koniec okresu</v>
      </c>
      <c r="B1674" s="716" t="s">
        <v>6</v>
      </c>
      <c r="C1674" s="716" t="s">
        <v>1433</v>
      </c>
      <c r="D1674" s="716"/>
    </row>
    <row r="1675" spans="1:5">
      <c r="A1675" s="715" t="str">
        <f>IF(ster!$A$1=1,names!B1675,IF(ster!$A$1=2,names!C1675))</f>
        <v>w tym środki pieniężne o ograniczonej możliwości dysponowania</v>
      </c>
      <c r="B1675" s="716" t="s">
        <v>377</v>
      </c>
      <c r="C1675" s="716" t="s">
        <v>1190</v>
      </c>
      <c r="D1675" s="716"/>
    </row>
    <row r="1676" spans="1:5">
      <c r="A1676" s="715">
        <f>IF(ster!$A$1=1,names!B1676,IF(ster!$A$1=2,names!C1676))</f>
        <v>0</v>
      </c>
      <c r="B1676" s="716"/>
      <c r="C1676" s="716"/>
      <c r="D1676" s="716"/>
    </row>
    <row r="1677" spans="1:5">
      <c r="A1677" s="715" t="str">
        <f>IF(ster!$A$1=1,names!B1677,IF(ster!$A$1=2,names!C1677))</f>
        <v>Skonsolidowane sprawozdanie z przepływów pieniężnych</v>
      </c>
      <c r="B1677" s="717" t="s">
        <v>267</v>
      </c>
      <c r="C1677" s="716" t="s">
        <v>1146</v>
      </c>
      <c r="D1677" s="716"/>
      <c r="E1677" s="709" t="s">
        <v>1472</v>
      </c>
    </row>
    <row r="1678" spans="1:5">
      <c r="A1678" s="715">
        <f>IF(ster!$A$1=1,names!B1678,IF(ster!$A$1=2,names!C1678))</f>
        <v>0</v>
      </c>
      <c r="B1678" s="716"/>
      <c r="C1678" s="716"/>
      <c r="D1678" s="716"/>
    </row>
    <row r="1679" spans="1:5" ht="32.25">
      <c r="A1679" s="715" t="str">
        <f>IF(ster!$A$1=1,names!B1679,IF(ster!$A$1=2,names!C1679))</f>
        <v>Wyszczególnienie, 
mln PLN</v>
      </c>
      <c r="B1679" s="716" t="s">
        <v>161</v>
      </c>
      <c r="C1679" s="716" t="s">
        <v>948</v>
      </c>
      <c r="D1679" s="716"/>
    </row>
    <row r="1680" spans="1:5">
      <c r="A1680" s="715">
        <f>IF(ster!$A$1=1,names!B1680,IF(ster!$A$1=2,names!C1680))</f>
        <v>0</v>
      </c>
      <c r="B1680" s="716"/>
      <c r="C1680" s="716"/>
      <c r="D1680" s="716"/>
    </row>
    <row r="1681" spans="1:4">
      <c r="A1681" s="715" t="str">
        <f>IF(ster!$A$1=1,names!B1681,IF(ster!$A$1=2,names!C1681))</f>
        <v>Przepływy pieniężne z działalności operacyjnej</v>
      </c>
      <c r="B1681" s="716" t="s">
        <v>80</v>
      </c>
      <c r="C1681" s="716" t="s">
        <v>1147</v>
      </c>
      <c r="D1681" s="716"/>
    </row>
    <row r="1682" spans="1:4">
      <c r="A1682" s="715" t="str">
        <f>IF(ster!$A$1=1,names!B1682,IF(ster!$A$1=2,names!C1682))</f>
        <v>Zysk/(Strata) przed opodatkowaniem</v>
      </c>
      <c r="B1682" s="716" t="s">
        <v>125</v>
      </c>
      <c r="C1682" s="716" t="s">
        <v>1081</v>
      </c>
      <c r="D1682" s="716"/>
    </row>
    <row r="1683" spans="1:4">
      <c r="A1683" s="715" t="str">
        <f>IF(ster!$A$1=1,names!B1683,IF(ster!$A$1=2,names!C1683))</f>
        <v>Korekty o pozycje:</v>
      </c>
      <c r="B1683" s="716" t="s">
        <v>90</v>
      </c>
      <c r="C1683" s="716" t="s">
        <v>1148</v>
      </c>
      <c r="D1683" s="716"/>
    </row>
    <row r="1684" spans="1:4" ht="32.25">
      <c r="A1684" s="715" t="str">
        <f>IF(ster!$A$1=1,names!B1684,IF(ster!$A$1=2,names!C1684))</f>
        <v>Udział w wyniku finansowym jednostek wycenianych metodą praw własności</v>
      </c>
      <c r="B1684" s="716" t="s">
        <v>24</v>
      </c>
      <c r="C1684" s="716" t="s">
        <v>996</v>
      </c>
      <c r="D1684" s="716"/>
    </row>
    <row r="1685" spans="1:4">
      <c r="A1685" s="715" t="str">
        <f>IF(ster!$A$1=1,names!B1685,IF(ster!$A$1=2,names!C1685))</f>
        <v>Amortyzacja</v>
      </c>
      <c r="B1685" s="716" t="s">
        <v>91</v>
      </c>
      <c r="C1685" s="716" t="s">
        <v>1149</v>
      </c>
      <c r="D1685" s="716"/>
    </row>
    <row r="1686" spans="1:4">
      <c r="A1686" s="715" t="str">
        <f>IF(ster!$A$1=1,names!B1686,IF(ster!$A$1=2,names!C1686))</f>
        <v>(Zysk)/Strata z tytułu różnic kursowych</v>
      </c>
      <c r="B1686" s="716" t="s">
        <v>124</v>
      </c>
      <c r="C1686" s="716" t="s">
        <v>1150</v>
      </c>
      <c r="D1686" s="716"/>
    </row>
    <row r="1687" spans="1:4">
      <c r="A1687" s="715" t="str">
        <f>IF(ster!$A$1=1,names!B1687,IF(ster!$A$1=2,names!C1687))</f>
        <v>Odsetki netto</v>
      </c>
      <c r="B1687" s="716" t="s">
        <v>3</v>
      </c>
      <c r="C1687" s="716" t="s">
        <v>1151</v>
      </c>
      <c r="D1687" s="716"/>
    </row>
    <row r="1688" spans="1:4">
      <c r="A1688" s="715" t="str">
        <f>IF(ster!$A$1=1,names!B1688,IF(ster!$A$1=2,names!C1688))</f>
        <v>Dywidendy</v>
      </c>
      <c r="B1688" s="716" t="s">
        <v>19</v>
      </c>
      <c r="C1688" s="716" t="s">
        <v>1152</v>
      </c>
      <c r="D1688" s="716"/>
    </row>
    <row r="1689" spans="1:4">
      <c r="A1689" s="715" t="str">
        <f>IF(ster!$A$1=1,names!B1689,IF(ster!$A$1=2,names!C1689))</f>
        <v>(Zysk)/Strata na działalności inwestycyjnej, w tym:</v>
      </c>
      <c r="B1689" s="716" t="s">
        <v>325</v>
      </c>
      <c r="C1689" s="716" t="s">
        <v>1447</v>
      </c>
      <c r="D1689" s="716"/>
    </row>
    <row r="1690" spans="1:4" ht="63.75">
      <c r="A1690" s="715" t="str">
        <f>IF(ster!$A$1=1,names!B1690,IF(ster!$A$1=2,names!C1690))</f>
        <v>utworzenie/(odwrócenie) odpisów aktualizujących wartość rzeczowych aktywów trwałych, 
wartości niematerialnych i pozostałych składników majątku trwałego</v>
      </c>
      <c r="B1690" s="716" t="s">
        <v>397</v>
      </c>
      <c r="C1690" s="716" t="s">
        <v>1473</v>
      </c>
      <c r="D1690" s="716"/>
    </row>
    <row r="1691" spans="1:4">
      <c r="A1691" s="715" t="str">
        <f>IF(ster!$A$1=1,names!B1691,IF(ster!$A$1=2,names!C1691))</f>
        <v>rozliczenie i wycena pochodnych instrumentów finansowych</v>
      </c>
      <c r="B1691" s="716" t="s">
        <v>399</v>
      </c>
      <c r="C1691" s="716" t="s">
        <v>1463</v>
      </c>
      <c r="D1691" s="716"/>
    </row>
    <row r="1692" spans="1:4">
      <c r="A1692" s="715" t="str">
        <f>IF(ster!$A$1=1,names!B1692,IF(ster!$A$1=2,names!C1692))</f>
        <v>(zysk) z tytułu okazyjnego nabycia Grupy ENERGA</v>
      </c>
      <c r="B1692" s="716" t="s">
        <v>481</v>
      </c>
      <c r="C1692" s="716" t="s">
        <v>1474</v>
      </c>
      <c r="D1692" s="716"/>
    </row>
    <row r="1693" spans="1:4">
      <c r="A1693" s="715" t="str">
        <f>IF(ster!$A$1=1,names!B1693,IF(ster!$A$1=2,names!C1693))</f>
        <v xml:space="preserve">Zmiana stanu rezerw </v>
      </c>
      <c r="B1693" s="716" t="s">
        <v>27</v>
      </c>
      <c r="C1693" s="716" t="s">
        <v>1154</v>
      </c>
      <c r="D1693" s="716"/>
    </row>
    <row r="1694" spans="1:4">
      <c r="A1694" s="715" t="str">
        <f>IF(ster!$A$1=1,names!B1694,IF(ster!$A$1=2,names!C1694))</f>
        <v>Zmiana stanu kapitału pracującego</v>
      </c>
      <c r="B1694" s="716" t="s">
        <v>112</v>
      </c>
      <c r="C1694" s="716" t="s">
        <v>1155</v>
      </c>
      <c r="D1694" s="716"/>
    </row>
    <row r="1695" spans="1:4">
      <c r="A1695" s="715" t="str">
        <f>IF(ster!$A$1=1,names!B1695,IF(ster!$A$1=2,names!C1695))</f>
        <v>zapasy, w tym:</v>
      </c>
      <c r="B1695" s="716" t="s">
        <v>419</v>
      </c>
      <c r="C1695" s="716" t="s">
        <v>1475</v>
      </c>
      <c r="D1695" s="716"/>
    </row>
    <row r="1696" spans="1:4" ht="32.25">
      <c r="A1696" s="715" t="str">
        <f>IF(ster!$A$1=1,names!B1696,IF(ster!$A$1=2,names!C1696))</f>
        <v>odpisy wartości zapasów do wartości netto możliwej do uzyskania</v>
      </c>
      <c r="B1696" s="716" t="s">
        <v>418</v>
      </c>
      <c r="C1696" s="716" t="s">
        <v>1476</v>
      </c>
      <c r="D1696" s="716"/>
    </row>
    <row r="1697" spans="1:4">
      <c r="A1697" s="715" t="str">
        <f>IF(ster!$A$1=1,names!B1697,IF(ster!$A$1=2,names!C1697))</f>
        <v>należności</v>
      </c>
      <c r="B1697" s="716" t="s">
        <v>114</v>
      </c>
      <c r="C1697" s="716" t="s">
        <v>1157</v>
      </c>
      <c r="D1697" s="716"/>
    </row>
    <row r="1698" spans="1:4">
      <c r="A1698" s="715" t="str">
        <f>IF(ster!$A$1=1,names!B1698,IF(ster!$A$1=2,names!C1698))</f>
        <v>zobowiązania</v>
      </c>
      <c r="B1698" s="716" t="s">
        <v>115</v>
      </c>
      <c r="C1698" s="716" t="s">
        <v>1158</v>
      </c>
      <c r="D1698" s="716"/>
    </row>
    <row r="1699" spans="1:4">
      <c r="A1699" s="715" t="str">
        <f>IF(ster!$A$1=1,names!B1699,IF(ster!$A$1=2,names!C1699))</f>
        <v>Pozostałe korekty, w tym:</v>
      </c>
      <c r="B1699" s="716" t="s">
        <v>320</v>
      </c>
      <c r="C1699" s="716" t="s">
        <v>1159</v>
      </c>
      <c r="D1699" s="716"/>
    </row>
    <row r="1700" spans="1:4">
      <c r="A1700" s="715" t="str">
        <f>IF(ster!$A$1=1,names!B1700,IF(ster!$A$1=2,names!C1700))</f>
        <v>rozliczenie dotacji na prawa majątkowe</v>
      </c>
      <c r="B1700" s="716" t="s">
        <v>503</v>
      </c>
      <c r="C1700" s="716" t="s">
        <v>1448</v>
      </c>
      <c r="D1700" s="716"/>
    </row>
    <row r="1701" spans="1:4">
      <c r="A1701" s="715" t="str">
        <f>IF(ster!$A$1=1,names!B1701,IF(ster!$A$1=2,names!C1701))</f>
        <v>depozyty zabezpieczające</v>
      </c>
      <c r="B1701" s="716" t="s">
        <v>400</v>
      </c>
      <c r="C1701" s="716" t="s">
        <v>1161</v>
      </c>
      <c r="D1701" s="716"/>
    </row>
    <row r="1702" spans="1:4" ht="32.25">
      <c r="A1702" s="715" t="str">
        <f>IF(ster!$A$1=1,names!B1702,IF(ster!$A$1=2,names!C1702))</f>
        <v>zmiana stanu rozrachunków z tytułu rozliczonych instrumentów zabezpieczających przepływy pieniężne</v>
      </c>
      <c r="B1702" s="716" t="s">
        <v>464</v>
      </c>
      <c r="C1702" s="716" t="s">
        <v>1464</v>
      </c>
      <c r="D1702" s="716"/>
    </row>
    <row r="1703" spans="1:4">
      <c r="A1703" s="715" t="str">
        <f>IF(ster!$A$1=1,names!B1703,IF(ster!$A$1=2,names!C1703))</f>
        <v>Podatek dochodowy (zapłacony)</v>
      </c>
      <c r="B1703" s="716" t="s">
        <v>4</v>
      </c>
      <c r="C1703" s="716" t="s">
        <v>1164</v>
      </c>
      <c r="D1703" s="716"/>
    </row>
    <row r="1704" spans="1:4" ht="32.25">
      <c r="A1704" s="715" t="str">
        <f>IF(ster!$A$1=1,names!B1704,IF(ster!$A$1=2,names!C1704))</f>
        <v>Środki pieniężne netto z/(wykorzystane w) działalności operacyjnej</v>
      </c>
      <c r="B1704" s="716" t="s">
        <v>168</v>
      </c>
      <c r="C1704" s="716" t="s">
        <v>1165</v>
      </c>
      <c r="D1704" s="716"/>
    </row>
    <row r="1705" spans="1:4">
      <c r="A1705" s="715" t="str">
        <f>IF(ster!$A$1=1,names!B1705,IF(ster!$A$1=2,names!C1705))</f>
        <v>Przepływy pieniężne z działalności inwestycyjnej</v>
      </c>
      <c r="B1705" s="716" t="s">
        <v>46</v>
      </c>
      <c r="C1705" s="716" t="s">
        <v>1166</v>
      </c>
      <c r="D1705" s="716"/>
    </row>
    <row r="1706" spans="1:4" ht="48">
      <c r="A1706" s="715" t="str">
        <f>IF(ster!$A$1=1,names!B1706,IF(ster!$A$1=2,names!C1706))</f>
        <v>Nabycie składników rzeczowego majątku trwałego, 
wartości niematerialnych i aktywów z tytułu praw do użytkowania</v>
      </c>
      <c r="B1706" s="716" t="s">
        <v>382</v>
      </c>
      <c r="C1706" s="716" t="s">
        <v>1465</v>
      </c>
      <c r="D1706" s="716"/>
    </row>
    <row r="1707" spans="1:4">
      <c r="A1707" s="715" t="str">
        <f>IF(ster!$A$1=1,names!B1707,IF(ster!$A$1=2,names!C1707))</f>
        <v>Nabycie akcji/udziałów pomniejszone o środki pieniężne, w tym:</v>
      </c>
      <c r="B1707" s="716" t="s">
        <v>483</v>
      </c>
      <c r="C1707" s="716" t="s">
        <v>1477</v>
      </c>
      <c r="D1707" s="716"/>
    </row>
    <row r="1708" spans="1:4">
      <c r="A1708" s="715" t="str">
        <f>IF(ster!$A$1=1,names!B1708,IF(ster!$A$1=2,names!C1708))</f>
        <v>nabycie Grupy ENERGA</v>
      </c>
      <c r="B1708" s="716" t="s">
        <v>484</v>
      </c>
      <c r="C1708" s="716" t="s">
        <v>1478</v>
      </c>
      <c r="D1708" s="716"/>
    </row>
    <row r="1709" spans="1:4" ht="48">
      <c r="A1709" s="715" t="str">
        <f>IF(ster!$A$1=1,names!B1709,IF(ster!$A$1=2,names!C1709))</f>
        <v>Sprzedaż składników rzeczowego majątku trwałego, 
wartości niematerialnych i aktywów z tytułu praw do użytkowania</v>
      </c>
      <c r="B1709" s="716" t="s">
        <v>383</v>
      </c>
      <c r="C1709" s="716" t="s">
        <v>1466</v>
      </c>
      <c r="D1709" s="716"/>
    </row>
    <row r="1710" spans="1:4">
      <c r="A1710" s="715" t="str">
        <f>IF(ster!$A$1=1,names!B1710,IF(ster!$A$1=2,names!C1710))</f>
        <v>Lokaty krótkoterminowe</v>
      </c>
      <c r="B1710" s="716" t="s">
        <v>420</v>
      </c>
      <c r="C1710" s="716" t="s">
        <v>1479</v>
      </c>
      <c r="D1710" s="716"/>
    </row>
    <row r="1711" spans="1:4">
      <c r="A1711" s="715" t="str">
        <f>IF(ster!$A$1=1,names!B1711,IF(ster!$A$1=2,names!C1711))</f>
        <v>Dywidendy otrzymane</v>
      </c>
      <c r="B1711" s="716" t="s">
        <v>26</v>
      </c>
      <c r="C1711" s="716" t="s">
        <v>1172</v>
      </c>
      <c r="D1711" s="716"/>
    </row>
    <row r="1712" spans="1:4">
      <c r="A1712" s="715" t="str">
        <f>IF(ster!$A$1=1,names!B1712,IF(ster!$A$1=2,names!C1712))</f>
        <v>Wypływy z tytułu udzielonych pożyczek</v>
      </c>
      <c r="B1712" s="716" t="s">
        <v>458</v>
      </c>
      <c r="C1712" s="716" t="s">
        <v>1480</v>
      </c>
      <c r="D1712" s="716"/>
    </row>
    <row r="1713" spans="1:4" ht="32.25">
      <c r="A1713" s="715" t="str">
        <f>IF(ster!$A$1=1,names!B1713,IF(ster!$A$1=2,names!C1713))</f>
        <v>Rozliczenie instrumentów pochodnych niewyznaczonych dla celów rachunkowości zabezpieczeń</v>
      </c>
      <c r="B1713" s="716" t="s">
        <v>322</v>
      </c>
      <c r="C1713" s="716" t="s">
        <v>1450</v>
      </c>
      <c r="D1713" s="716"/>
    </row>
    <row r="1714" spans="1:4">
      <c r="A1714" s="715" t="str">
        <f>IF(ster!$A$1=1,names!B1714,IF(ster!$A$1=2,names!C1714))</f>
        <v>Pozostałe</v>
      </c>
      <c r="B1714" s="716" t="s">
        <v>47</v>
      </c>
      <c r="C1714" s="716" t="s">
        <v>935</v>
      </c>
      <c r="D1714" s="716"/>
    </row>
    <row r="1715" spans="1:4" ht="32.25">
      <c r="A1715" s="715" t="str">
        <f>IF(ster!$A$1=1,names!B1715,IF(ster!$A$1=2,names!C1715))</f>
        <v>Środki pieniężne netto z/(wykorzystane w) działalności inwestycyjnej</v>
      </c>
      <c r="B1715" s="716" t="s">
        <v>294</v>
      </c>
      <c r="C1715" s="716" t="s">
        <v>1175</v>
      </c>
      <c r="D1715" s="716"/>
    </row>
    <row r="1716" spans="1:4">
      <c r="A1716" s="715" t="str">
        <f>IF(ster!$A$1=1,names!B1716,IF(ster!$A$1=2,names!C1716))</f>
        <v>Przepływy pieniężne z działalności finansowej</v>
      </c>
      <c r="B1716" s="716" t="s">
        <v>48</v>
      </c>
      <c r="C1716" s="716" t="s">
        <v>1176</v>
      </c>
      <c r="D1716" s="716"/>
    </row>
    <row r="1717" spans="1:4" ht="32.25">
      <c r="A1717" s="715" t="str">
        <f>IF(ster!$A$1=1,names!B1717,IF(ster!$A$1=2,names!C1717))</f>
        <v>Zmiana środków pieniężnych związana z wykupem akcjonariuszy niekontrolujących UNIPETROL, a.s.</v>
      </c>
      <c r="B1717" s="716" t="s">
        <v>384</v>
      </c>
      <c r="C1717" s="716" t="s">
        <v>1177</v>
      </c>
      <c r="D1717" s="716"/>
    </row>
    <row r="1718" spans="1:4">
      <c r="A1718" s="715" t="str">
        <f>IF(ster!$A$1=1,names!B1718,IF(ster!$A$1=2,names!C1718))</f>
        <v>Wpływy z otrzymanych kredytów i pożyczek</v>
      </c>
      <c r="B1718" s="716" t="s">
        <v>1</v>
      </c>
      <c r="C1718" s="716" t="s">
        <v>1441</v>
      </c>
      <c r="D1718" s="716"/>
    </row>
    <row r="1719" spans="1:4">
      <c r="A1719" s="715" t="str">
        <f>IF(ster!$A$1=1,names!B1719,IF(ster!$A$1=2,names!C1719))</f>
        <v>Emisja obligacji</v>
      </c>
      <c r="B1719" s="716" t="s">
        <v>273</v>
      </c>
      <c r="C1719" s="716" t="s">
        <v>1178</v>
      </c>
      <c r="D1719" s="716"/>
    </row>
    <row r="1720" spans="1:4">
      <c r="A1720" s="715" t="str">
        <f>IF(ster!$A$1=1,names!B1720,IF(ster!$A$1=2,names!C1720))</f>
        <v>Spłaty kredytów i pożyczek</v>
      </c>
      <c r="B1720" s="716" t="s">
        <v>2</v>
      </c>
      <c r="C1720" s="716" t="s">
        <v>1179</v>
      </c>
      <c r="D1720" s="716"/>
    </row>
    <row r="1721" spans="1:4">
      <c r="A1721" s="715" t="str">
        <f>IF(ster!$A$1=1,names!B1721,IF(ster!$A$1=2,names!C1721))</f>
        <v>Wykup obligacji</v>
      </c>
      <c r="B1721" s="716" t="s">
        <v>318</v>
      </c>
      <c r="C1721" s="716" t="s">
        <v>1470</v>
      </c>
      <c r="D1721" s="716"/>
    </row>
    <row r="1722" spans="1:4">
      <c r="A1722" s="715" t="str">
        <f>IF(ster!$A$1=1,names!B1722,IF(ster!$A$1=2,names!C1722))</f>
        <v xml:space="preserve">Odsetki zapłacone od kredytów i obligacji </v>
      </c>
      <c r="B1722" s="716" t="s">
        <v>379</v>
      </c>
      <c r="C1722" s="716" t="s">
        <v>1181</v>
      </c>
      <c r="D1722" s="716"/>
    </row>
    <row r="1723" spans="1:4">
      <c r="A1723" s="715" t="str">
        <f>IF(ster!$A$1=1,names!B1723,IF(ster!$A$1=2,names!C1723))</f>
        <v>Odsetki zapłacone z tytułu leasingu</v>
      </c>
      <c r="B1723" s="716" t="s">
        <v>380</v>
      </c>
      <c r="C1723" s="716" t="s">
        <v>1182</v>
      </c>
      <c r="D1723" s="716"/>
    </row>
    <row r="1724" spans="1:4">
      <c r="A1724" s="715" t="str">
        <f>IF(ster!$A$1=1,names!B1724,IF(ster!$A$1=2,names!C1724))</f>
        <v>Dywidendy wypłacone</v>
      </c>
      <c r="B1724" s="716" t="s">
        <v>127</v>
      </c>
      <c r="C1724" s="716" t="s">
        <v>1452</v>
      </c>
      <c r="D1724" s="716"/>
    </row>
    <row r="1725" spans="1:4">
      <c r="A1725" s="715" t="str">
        <f>IF(ster!$A$1=1,names!B1725,IF(ster!$A$1=2,names!C1725))</f>
        <v xml:space="preserve">akcjonariuszom jednostki dominujacej </v>
      </c>
      <c r="B1725" s="716" t="s">
        <v>480</v>
      </c>
      <c r="C1725" s="716" t="s">
        <v>1453</v>
      </c>
      <c r="D1725" s="716"/>
    </row>
    <row r="1726" spans="1:4">
      <c r="A1726" s="715" t="str">
        <f>IF(ster!$A$1=1,names!B1726,IF(ster!$A$1=2,names!C1726))</f>
        <v>Płatności zobowiązań z tytułu umów leasingu</v>
      </c>
      <c r="B1726" s="716" t="s">
        <v>378</v>
      </c>
      <c r="C1726" s="716" t="s">
        <v>1183</v>
      </c>
      <c r="D1726" s="716"/>
    </row>
    <row r="1727" spans="1:4">
      <c r="A1727" s="715" t="str">
        <f>IF(ster!$A$1=1,names!B1727,IF(ster!$A$1=2,names!C1727))</f>
        <v>Pozostałe</v>
      </c>
      <c r="B1727" s="716" t="s">
        <v>47</v>
      </c>
      <c r="C1727" s="716" t="s">
        <v>935</v>
      </c>
      <c r="D1727" s="716"/>
    </row>
    <row r="1728" spans="1:4" ht="32.25">
      <c r="A1728" s="715" t="str">
        <f>IF(ster!$A$1=1,names!B1728,IF(ster!$A$1=2,names!C1728))</f>
        <v>Środki pieniężne netto z/(wykorzystane w) działalności finansowej</v>
      </c>
      <c r="B1728" s="716" t="s">
        <v>145</v>
      </c>
      <c r="C1728" s="716" t="s">
        <v>1185</v>
      </c>
      <c r="D1728" s="716"/>
    </row>
    <row r="1729" spans="1:6">
      <c r="A1729" s="715">
        <f>IF(ster!$A$1=1,names!B1729,IF(ster!$A$1=2,names!C1729))</f>
        <v>0</v>
      </c>
      <c r="B1729" s="716"/>
      <c r="C1729" s="716"/>
      <c r="D1729" s="716"/>
    </row>
    <row r="1730" spans="1:6" ht="32.25">
      <c r="A1730" s="715" t="str">
        <f>IF(ster!$A$1=1,names!B1730,IF(ster!$A$1=2,names!C1730))</f>
        <v>Zwiększenie/(Zmniejszenie) netto stanu środków pieniężnych i ich ekwiwalentów</v>
      </c>
      <c r="B1730" s="716" t="s">
        <v>253</v>
      </c>
      <c r="C1730" s="716" t="s">
        <v>1430</v>
      </c>
      <c r="D1730" s="716"/>
    </row>
    <row r="1731" spans="1:6" ht="32.25">
      <c r="A1731" s="715" t="str">
        <f>IF(ster!$A$1=1,names!B1731,IF(ster!$A$1=2,names!C1731))</f>
        <v>Zmiana stanu środków pieniężnych i ich ekwiwalentów z tytułu różnic kursowych</v>
      </c>
      <c r="B1731" s="716" t="s">
        <v>5</v>
      </c>
      <c r="C1731" s="716" t="s">
        <v>1187</v>
      </c>
      <c r="D1731" s="716"/>
    </row>
    <row r="1732" spans="1:6">
      <c r="A1732" s="715" t="str">
        <f>IF(ster!$A$1=1,names!B1732,IF(ster!$A$1=2,names!C1732))</f>
        <v>Środki pieniężne i ich ekwiwalenty na początek okresu</v>
      </c>
      <c r="B1732" s="716" t="s">
        <v>299</v>
      </c>
      <c r="C1732" s="716" t="s">
        <v>1432</v>
      </c>
      <c r="D1732" s="716"/>
    </row>
    <row r="1733" spans="1:6">
      <c r="A1733" s="715">
        <f>IF(ster!$A$1=1,names!B1733,IF(ster!$A$1=2,names!C1733))</f>
        <v>0</v>
      </c>
      <c r="B1733" s="716"/>
      <c r="C1733" s="716"/>
      <c r="D1733" s="716"/>
    </row>
    <row r="1734" spans="1:6">
      <c r="A1734" s="715" t="str">
        <f>IF(ster!$A$1=1,names!B1734,IF(ster!$A$1=2,names!C1734))</f>
        <v>Środki pieniężne i ich ekwiwalenty na koniec okresu</v>
      </c>
      <c r="B1734" s="716" t="s">
        <v>6</v>
      </c>
      <c r="C1734" s="716" t="s">
        <v>1433</v>
      </c>
      <c r="D1734" s="716"/>
    </row>
    <row r="1735" spans="1:6">
      <c r="A1735" s="715" t="str">
        <f>IF(ster!$A$1=1,names!B1735,IF(ster!$A$1=2,names!C1735))</f>
        <v>w tym środki pieniężne o ograniczonej możliwości dysponowania</v>
      </c>
      <c r="B1735" s="716" t="s">
        <v>377</v>
      </c>
      <c r="C1735" s="716" t="s">
        <v>1190</v>
      </c>
      <c r="D1735" s="716"/>
    </row>
    <row r="1736" spans="1:6">
      <c r="A1736" s="715">
        <f>IF(ster!$A$1=1,names!B1736,IF(ster!$A$1=2,names!C1736))</f>
        <v>0</v>
      </c>
      <c r="B1736" s="716"/>
      <c r="C1736" s="716"/>
      <c r="D1736" s="716"/>
    </row>
    <row r="1737" spans="1:6">
      <c r="A1737" s="715" t="str">
        <f>IF(ster!$A$1=1,names!B1737,IF(ster!$A$1=2,names!C1737))</f>
        <v>*) Dane przekształcone.</v>
      </c>
      <c r="B1737" s="716" t="s">
        <v>457</v>
      </c>
      <c r="C1737" s="716" t="s">
        <v>1005</v>
      </c>
      <c r="D1737" s="716"/>
    </row>
    <row r="1738" spans="1:6">
      <c r="A1738" s="715">
        <f>IF(ster!$A$1=1,names!B1738,IF(ster!$A$1=2,names!C1738))</f>
        <v>0</v>
      </c>
      <c r="B1738" s="716"/>
      <c r="C1738" s="716"/>
      <c r="D1738" s="716"/>
    </row>
    <row r="1739" spans="1:6">
      <c r="A1739" s="715" t="str">
        <f>IF(ster!$A$1=1,names!B1739,IF(ster!$A$1=2,names!C1739))</f>
        <v>Skonsolidowane sprawozdanie z przepływów pieniężnych</v>
      </c>
      <c r="B1739" s="717" t="s">
        <v>267</v>
      </c>
      <c r="C1739" s="716" t="s">
        <v>1146</v>
      </c>
      <c r="D1739" s="716"/>
      <c r="E1739" s="709" t="s">
        <v>1495</v>
      </c>
    </row>
    <row r="1740" spans="1:6" ht="18">
      <c r="A1740" s="715">
        <f>IF(ster!$A$1=1,names!B1740,IF(ster!$A$1=2,names!C1740))</f>
        <v>0</v>
      </c>
      <c r="B1740" s="716"/>
      <c r="C1740" s="716"/>
      <c r="D1740" s="716"/>
      <c r="E1740" s="713"/>
      <c r="F1740" s="713"/>
    </row>
    <row r="1741" spans="1:6" ht="31.5">
      <c r="A1741" s="715" t="str">
        <f>IF(ster!$A$1=1,names!B1741,IF(ster!$A$1=2,names!C1741))</f>
        <v>Wyszczególnienie, 
mln PLN</v>
      </c>
      <c r="B1741" s="716" t="s">
        <v>161</v>
      </c>
      <c r="C1741" s="716" t="s">
        <v>948</v>
      </c>
      <c r="D1741" s="716"/>
      <c r="E1741" s="714"/>
      <c r="F1741" s="714"/>
    </row>
    <row r="1742" spans="1:6" ht="18">
      <c r="A1742" s="715">
        <f>IF(ster!$A$1=1,names!B1742,IF(ster!$A$1=2,names!C1742))</f>
        <v>0</v>
      </c>
      <c r="B1742" s="716"/>
      <c r="C1742" s="716"/>
      <c r="D1742" s="716"/>
      <c r="E1742" s="714"/>
      <c r="F1742" s="714"/>
    </row>
    <row r="1743" spans="1:6">
      <c r="A1743" s="715" t="str">
        <f>IF(ster!$A$1=1,names!B1743,IF(ster!$A$1=2,names!C1743))</f>
        <v>Przepływy pieniężne z działalności operacyjnej</v>
      </c>
      <c r="B1743" s="716" t="s">
        <v>80</v>
      </c>
      <c r="C1743" s="716" t="s">
        <v>1147</v>
      </c>
      <c r="D1743" s="716"/>
    </row>
    <row r="1744" spans="1:6">
      <c r="A1744" s="715" t="str">
        <f>IF(ster!$A$1=1,names!B1744,IF(ster!$A$1=2,names!C1744))</f>
        <v>Zysk/(Strata) przed opodatkowaniem</v>
      </c>
      <c r="B1744" s="716" t="s">
        <v>125</v>
      </c>
      <c r="C1744" s="716" t="s">
        <v>1081</v>
      </c>
      <c r="D1744" s="716"/>
    </row>
    <row r="1745" spans="1:4">
      <c r="A1745" s="715" t="str">
        <f>IF(ster!$A$1=1,names!B1745,IF(ster!$A$1=2,names!C1745))</f>
        <v>Korekty o pozycje:</v>
      </c>
      <c r="B1745" s="716" t="s">
        <v>90</v>
      </c>
      <c r="C1745" s="716" t="s">
        <v>1148</v>
      </c>
      <c r="D1745" s="716"/>
    </row>
    <row r="1746" spans="1:4" ht="32.25">
      <c r="A1746" s="715" t="str">
        <f>IF(ster!$A$1=1,names!B1746,IF(ster!$A$1=2,names!C1746))</f>
        <v>Udział w wyniku finansowym jednostek wycenianych metodą praw własności</v>
      </c>
      <c r="B1746" s="716" t="s">
        <v>24</v>
      </c>
      <c r="C1746" s="716" t="s">
        <v>996</v>
      </c>
      <c r="D1746" s="716"/>
    </row>
    <row r="1747" spans="1:4">
      <c r="A1747" s="715" t="str">
        <f>IF(ster!$A$1=1,names!B1747,IF(ster!$A$1=2,names!C1747))</f>
        <v>Amortyzacja</v>
      </c>
      <c r="B1747" s="716" t="s">
        <v>91</v>
      </c>
      <c r="C1747" s="716" t="s">
        <v>1149</v>
      </c>
      <c r="D1747" s="716"/>
    </row>
    <row r="1748" spans="1:4">
      <c r="A1748" s="715" t="str">
        <f>IF(ster!$A$1=1,names!B1748,IF(ster!$A$1=2,names!C1748))</f>
        <v>(Zysk)/Strata z tytułu różnic kursowych</v>
      </c>
      <c r="B1748" s="716" t="s">
        <v>124</v>
      </c>
      <c r="C1748" s="716" t="s">
        <v>1150</v>
      </c>
      <c r="D1748" s="716"/>
    </row>
    <row r="1749" spans="1:4">
      <c r="A1749" s="715" t="str">
        <f>IF(ster!$A$1=1,names!B1749,IF(ster!$A$1=2,names!C1749))</f>
        <v>Odsetki netto</v>
      </c>
      <c r="B1749" s="716" t="s">
        <v>3</v>
      </c>
      <c r="C1749" s="716" t="s">
        <v>1151</v>
      </c>
      <c r="D1749" s="716"/>
    </row>
    <row r="1750" spans="1:4">
      <c r="A1750" s="715" t="str">
        <f>IF(ster!$A$1=1,names!B1750,IF(ster!$A$1=2,names!C1750))</f>
        <v>Dywidendy</v>
      </c>
      <c r="B1750" s="716" t="s">
        <v>19</v>
      </c>
      <c r="C1750" s="716" t="s">
        <v>1152</v>
      </c>
      <c r="D1750" s="716"/>
    </row>
    <row r="1751" spans="1:4">
      <c r="A1751" s="715" t="str">
        <f>IF(ster!$A$1=1,names!B1751,IF(ster!$A$1=2,names!C1751))</f>
        <v>(Zysk)/Strata na działalności inwestycyjnej</v>
      </c>
      <c r="B1751" s="716" t="s">
        <v>144</v>
      </c>
      <c r="C1751" s="716" t="s">
        <v>1153</v>
      </c>
      <c r="D1751" s="716"/>
    </row>
    <row r="1752" spans="1:4">
      <c r="A1752" s="715" t="str">
        <f>IF(ster!$A$1=1,names!B1752,IF(ster!$A$1=2,names!C1752))</f>
        <v xml:space="preserve">Zmiana stanu rezerw </v>
      </c>
      <c r="B1752" s="716" t="s">
        <v>27</v>
      </c>
      <c r="C1752" s="716" t="s">
        <v>1154</v>
      </c>
      <c r="D1752" s="716"/>
    </row>
    <row r="1753" spans="1:4">
      <c r="A1753" s="715" t="str">
        <f>IF(ster!$A$1=1,names!B1753,IF(ster!$A$1=2,names!C1753))</f>
        <v>Zmiana stanu kapitału pracującego</v>
      </c>
      <c r="B1753" s="716" t="s">
        <v>112</v>
      </c>
      <c r="C1753" s="716" t="s">
        <v>1155</v>
      </c>
      <c r="D1753" s="716"/>
    </row>
    <row r="1754" spans="1:4">
      <c r="A1754" s="715" t="str">
        <f>IF(ster!$A$1=1,names!B1754,IF(ster!$A$1=2,names!C1754))</f>
        <v>zapasy</v>
      </c>
      <c r="B1754" s="716" t="s">
        <v>113</v>
      </c>
      <c r="C1754" s="716" t="s">
        <v>1156</v>
      </c>
      <c r="D1754" s="716"/>
    </row>
    <row r="1755" spans="1:4">
      <c r="A1755" s="715" t="str">
        <f>IF(ster!$A$1=1,names!B1755,IF(ster!$A$1=2,names!C1755))</f>
        <v>należności</v>
      </c>
      <c r="B1755" s="716" t="s">
        <v>114</v>
      </c>
      <c r="C1755" s="716" t="s">
        <v>1157</v>
      </c>
      <c r="D1755" s="716"/>
    </row>
    <row r="1756" spans="1:4">
      <c r="A1756" s="715" t="str">
        <f>IF(ster!$A$1=1,names!B1756,IF(ster!$A$1=2,names!C1756))</f>
        <v>zobowiązania</v>
      </c>
      <c r="B1756" s="716" t="s">
        <v>115</v>
      </c>
      <c r="C1756" s="716" t="s">
        <v>1158</v>
      </c>
      <c r="D1756" s="716"/>
    </row>
    <row r="1757" spans="1:4">
      <c r="A1757" s="715" t="str">
        <f>IF(ster!$A$1=1,names!B1757,IF(ster!$A$1=2,names!C1757))</f>
        <v>Pozostałe korekty</v>
      </c>
      <c r="B1757" s="716" t="s">
        <v>92</v>
      </c>
      <c r="C1757" s="716" t="s">
        <v>1410</v>
      </c>
      <c r="D1757" s="716"/>
    </row>
    <row r="1758" spans="1:4">
      <c r="A1758" s="715" t="str">
        <f>IF(ster!$A$1=1,names!B1758,IF(ster!$A$1=2,names!C1758))</f>
        <v>Podatek dochodowy (zapłacony)</v>
      </c>
      <c r="B1758" s="716" t="s">
        <v>4</v>
      </c>
      <c r="C1758" s="716" t="s">
        <v>1164</v>
      </c>
      <c r="D1758" s="716"/>
    </row>
    <row r="1759" spans="1:4" ht="32.25">
      <c r="A1759" s="715" t="str">
        <f>IF(ster!$A$1=1,names!B1759,IF(ster!$A$1=2,names!C1759))</f>
        <v>Środki pieniężne netto z/(wykorzystane w) działalności operacyjnej</v>
      </c>
      <c r="B1759" s="716" t="s">
        <v>168</v>
      </c>
      <c r="C1759" s="716" t="s">
        <v>1165</v>
      </c>
      <c r="D1759" s="716"/>
    </row>
    <row r="1760" spans="1:4">
      <c r="A1760" s="715" t="str">
        <f>IF(ster!$A$1=1,names!B1760,IF(ster!$A$1=2,names!C1760))</f>
        <v>Przepływy pieniężne z działalności inwestycyjnej</v>
      </c>
      <c r="B1760" s="716" t="s">
        <v>46</v>
      </c>
      <c r="C1760" s="716" t="s">
        <v>1166</v>
      </c>
      <c r="D1760" s="716"/>
    </row>
    <row r="1761" spans="1:4" ht="48">
      <c r="A1761" s="715" t="str">
        <f>IF(ster!$A$1=1,names!B1761,IF(ster!$A$1=2,names!C1761))</f>
        <v>Nabycie składników rzeczowego majątku trwałego, 
wartości niematerialnych i aktywów z tytułu praw do użytkowania</v>
      </c>
      <c r="B1761" s="716" t="s">
        <v>382</v>
      </c>
      <c r="C1761" s="716" t="s">
        <v>1167</v>
      </c>
      <c r="D1761" s="716"/>
    </row>
    <row r="1762" spans="1:4">
      <c r="A1762" s="715" t="str">
        <f>IF(ster!$A$1=1,names!B1762,IF(ster!$A$1=2,names!C1762))</f>
        <v>Nabycie akcji/udziałów pomniejszone o środki pieniężne</v>
      </c>
      <c r="B1762" s="716" t="s">
        <v>502</v>
      </c>
      <c r="C1762" s="716" t="s">
        <v>1174</v>
      </c>
      <c r="D1762" s="716"/>
    </row>
    <row r="1763" spans="1:4" ht="48">
      <c r="A1763" s="715" t="str">
        <f>IF(ster!$A$1=1,names!B1763,IF(ster!$A$1=2,names!C1763))</f>
        <v>Sprzedaż składników rzeczowego majątku trwałego, 
wartości niematerialnych i aktywów z tytułu praw do użytkowania</v>
      </c>
      <c r="B1763" s="716" t="s">
        <v>383</v>
      </c>
      <c r="C1763" s="716" t="s">
        <v>1496</v>
      </c>
      <c r="D1763" s="716"/>
    </row>
    <row r="1764" spans="1:4">
      <c r="A1764" s="715" t="str">
        <f>IF(ster!$A$1=1,names!B1764,IF(ster!$A$1=2,names!C1764))</f>
        <v>Lokaty krótkoterminowe</v>
      </c>
      <c r="B1764" s="716" t="s">
        <v>420</v>
      </c>
      <c r="C1764" s="716" t="s">
        <v>1479</v>
      </c>
      <c r="D1764" s="716"/>
    </row>
    <row r="1765" spans="1:4">
      <c r="A1765" s="715" t="str">
        <f>IF(ster!$A$1=1,names!B1765,IF(ster!$A$1=2,names!C1765))</f>
        <v>Zmiana struktury właścicielskiej w Baltic Power</v>
      </c>
      <c r="B1765" s="716" t="s">
        <v>504</v>
      </c>
      <c r="C1765" s="716" t="s">
        <v>1497</v>
      </c>
      <c r="D1765" s="716"/>
    </row>
    <row r="1766" spans="1:4">
      <c r="A1766" s="715" t="str">
        <f>IF(ster!$A$1=1,names!B1766,IF(ster!$A$1=2,names!C1766))</f>
        <v>Dywidendy otrzymane</v>
      </c>
      <c r="B1766" s="716" t="s">
        <v>26</v>
      </c>
      <c r="C1766" s="716" t="s">
        <v>1172</v>
      </c>
      <c r="D1766" s="716"/>
    </row>
    <row r="1767" spans="1:4">
      <c r="A1767" s="715" t="str">
        <f>IF(ster!$A$1=1,names!B1767,IF(ster!$A$1=2,names!C1767))</f>
        <v>Przepływy netto z tytułu pożyczek</v>
      </c>
      <c r="B1767" s="716" t="s">
        <v>509</v>
      </c>
      <c r="C1767" s="716" t="s">
        <v>1480</v>
      </c>
      <c r="D1767" s="716"/>
    </row>
    <row r="1768" spans="1:4" ht="32.25">
      <c r="A1768" s="715" t="str">
        <f>IF(ster!$A$1=1,names!B1768,IF(ster!$A$1=2,names!C1768))</f>
        <v>Rozliczenie instrumentów pochodnych niewyznaczonych dla celów rachunkowości zabezpieczeń</v>
      </c>
      <c r="B1768" s="716" t="s">
        <v>322</v>
      </c>
      <c r="C1768" s="716" t="s">
        <v>1450</v>
      </c>
      <c r="D1768" s="716"/>
    </row>
    <row r="1769" spans="1:4">
      <c r="A1769" s="715" t="str">
        <f>IF(ster!$A$1=1,names!B1769,IF(ster!$A$1=2,names!C1769))</f>
        <v>Pozostałe</v>
      </c>
      <c r="B1769" s="716" t="s">
        <v>47</v>
      </c>
      <c r="C1769" s="716" t="s">
        <v>935</v>
      </c>
      <c r="D1769" s="716"/>
    </row>
    <row r="1770" spans="1:4" ht="32.25">
      <c r="A1770" s="715" t="str">
        <f>IF(ster!$A$1=1,names!B1770,IF(ster!$A$1=2,names!C1770))</f>
        <v>Środki pieniężne netto z/(wykorzystane w) działalności inwestycyjnej</v>
      </c>
      <c r="B1770" s="716" t="s">
        <v>294</v>
      </c>
      <c r="C1770" s="716" t="s">
        <v>1175</v>
      </c>
      <c r="D1770" s="716"/>
    </row>
    <row r="1771" spans="1:4">
      <c r="A1771" s="715" t="str">
        <f>IF(ster!$A$1=1,names!B1771,IF(ster!$A$1=2,names!C1771))</f>
        <v>Przepływy pieniężne z działalności finansowej</v>
      </c>
      <c r="B1771" s="716" t="s">
        <v>48</v>
      </c>
      <c r="C1771" s="716" t="s">
        <v>1176</v>
      </c>
      <c r="D1771" s="716"/>
    </row>
    <row r="1772" spans="1:4">
      <c r="A1772" s="715" t="str">
        <f>IF(ster!$A$1=1,names!B1772,IF(ster!$A$1=2,names!C1772))</f>
        <v>Wpływy z otrzymanych kredytów i pożyczek</v>
      </c>
      <c r="B1772" s="716" t="s">
        <v>1</v>
      </c>
      <c r="C1772" s="716" t="s">
        <v>1177</v>
      </c>
      <c r="D1772" s="716"/>
    </row>
    <row r="1773" spans="1:4">
      <c r="A1773" s="715" t="str">
        <f>IF(ster!$A$1=1,names!B1773,IF(ster!$A$1=2,names!C1773))</f>
        <v>Emisja obligacji</v>
      </c>
      <c r="B1773" s="716" t="s">
        <v>273</v>
      </c>
      <c r="C1773" s="716" t="s">
        <v>1441</v>
      </c>
      <c r="D1773" s="716"/>
    </row>
    <row r="1774" spans="1:4">
      <c r="A1774" s="715" t="str">
        <f>IF(ster!$A$1=1,names!B1774,IF(ster!$A$1=2,names!C1774))</f>
        <v>Spłaty kredytów i pożyczek</v>
      </c>
      <c r="B1774" s="716" t="s">
        <v>2</v>
      </c>
      <c r="C1774" s="716" t="s">
        <v>1178</v>
      </c>
      <c r="D1774" s="716"/>
    </row>
    <row r="1775" spans="1:4">
      <c r="A1775" s="715" t="str">
        <f>IF(ster!$A$1=1,names!B1775,IF(ster!$A$1=2,names!C1775))</f>
        <v>Wykup obligacji</v>
      </c>
      <c r="B1775" s="716" t="s">
        <v>318</v>
      </c>
      <c r="C1775" s="716" t="s">
        <v>1179</v>
      </c>
      <c r="D1775" s="716"/>
    </row>
    <row r="1776" spans="1:4">
      <c r="A1776" s="715" t="str">
        <f>IF(ster!$A$1=1,names!B1776,IF(ster!$A$1=2,names!C1776))</f>
        <v>Odsetki zapłacone od kredytów, pożyczek i obligacji</v>
      </c>
      <c r="B1776" s="716" t="s">
        <v>511</v>
      </c>
      <c r="C1776" s="716" t="s">
        <v>1470</v>
      </c>
      <c r="D1776" s="716"/>
    </row>
    <row r="1777" spans="1:4">
      <c r="A1777" s="715" t="str">
        <f>IF(ster!$A$1=1,names!B1777,IF(ster!$A$1=2,names!C1777))</f>
        <v>Odsetki zapłacone z tytułu leasingu</v>
      </c>
      <c r="B1777" s="716" t="s">
        <v>380</v>
      </c>
      <c r="C1777" s="716" t="s">
        <v>1181</v>
      </c>
      <c r="D1777" s="716"/>
    </row>
    <row r="1778" spans="1:4">
      <c r="A1778" s="715" t="str">
        <f>IF(ster!$A$1=1,names!B1778,IF(ster!$A$1=2,names!C1778))</f>
        <v>Dywidendy wypłacone</v>
      </c>
      <c r="B1778" s="716" t="s">
        <v>127</v>
      </c>
      <c r="C1778" s="716" t="s">
        <v>1182</v>
      </c>
      <c r="D1778" s="716"/>
    </row>
    <row r="1779" spans="1:4">
      <c r="A1779" s="715" t="str">
        <f>IF(ster!$A$1=1,names!B1779,IF(ster!$A$1=2,names!C1779))</f>
        <v>Płatności zobowiązań z tytułu umów leasingu</v>
      </c>
      <c r="B1779" s="716" t="s">
        <v>378</v>
      </c>
      <c r="C1779" s="716" t="s">
        <v>1183</v>
      </c>
      <c r="D1779" s="716"/>
    </row>
    <row r="1780" spans="1:4">
      <c r="A1780" s="715" t="str">
        <f>IF(ster!$A$1=1,names!B1780,IF(ster!$A$1=2,names!C1780))</f>
        <v>Otrzymane dotacje</v>
      </c>
      <c r="B1780" s="716" t="s">
        <v>159</v>
      </c>
      <c r="C1780" s="716" t="s">
        <v>1184</v>
      </c>
      <c r="D1780" s="716"/>
    </row>
    <row r="1781" spans="1:4">
      <c r="A1781" s="715" t="str">
        <f>IF(ster!$A$1=1,names!B1781,IF(ster!$A$1=2,names!C1781))</f>
        <v>Pozostałe</v>
      </c>
      <c r="B1781" s="716" t="s">
        <v>47</v>
      </c>
      <c r="C1781" s="716" t="s">
        <v>935</v>
      </c>
      <c r="D1781" s="716"/>
    </row>
    <row r="1782" spans="1:4" ht="32.25">
      <c r="A1782" s="715" t="str">
        <f>IF(ster!$A$1=1,names!B1782,IF(ster!$A$1=2,names!C1782))</f>
        <v>Środki pieniężne netto z/(wykorzystane w) działalności finansowej</v>
      </c>
      <c r="B1782" s="716" t="s">
        <v>145</v>
      </c>
      <c r="C1782" s="716" t="s">
        <v>1185</v>
      </c>
      <c r="D1782" s="716"/>
    </row>
    <row r="1783" spans="1:4">
      <c r="A1783" s="715">
        <f>IF(ster!$A$1=1,names!B1783,IF(ster!$A$1=2,names!C1783))</f>
        <v>0</v>
      </c>
      <c r="B1783" s="716"/>
      <c r="C1783" s="716"/>
      <c r="D1783" s="716"/>
    </row>
    <row r="1784" spans="1:4" ht="32.25">
      <c r="A1784" s="715" t="str">
        <f>IF(ster!$A$1=1,names!B1784,IF(ster!$A$1=2,names!C1784))</f>
        <v>Zwiększenie/(Zmniejszenie) netto stanu środków pieniężnych i ich ekwiwalentów</v>
      </c>
      <c r="B1784" s="716" t="s">
        <v>253</v>
      </c>
      <c r="C1784" s="716" t="s">
        <v>1445</v>
      </c>
      <c r="D1784" s="716"/>
    </row>
    <row r="1785" spans="1:4" ht="32.25">
      <c r="A1785" s="715" t="str">
        <f>IF(ster!$A$1=1,names!B1785,IF(ster!$A$1=2,names!C1785))</f>
        <v>Zmiana stanu środków pieniężnych i ich ekwiwalentów z tytułu różnic kursowych</v>
      </c>
      <c r="B1785" s="716" t="s">
        <v>5</v>
      </c>
      <c r="C1785" s="716" t="s">
        <v>1187</v>
      </c>
      <c r="D1785" s="716"/>
    </row>
    <row r="1786" spans="1:4">
      <c r="A1786" s="715" t="str">
        <f>IF(ster!$A$1=1,names!B1786,IF(ster!$A$1=2,names!C1786))</f>
        <v>Środki pieniężne i ich ekwiwalenty na początek okresu</v>
      </c>
      <c r="B1786" s="716" t="s">
        <v>299</v>
      </c>
      <c r="C1786" s="716" t="s">
        <v>1432</v>
      </c>
      <c r="D1786" s="716"/>
    </row>
    <row r="1787" spans="1:4">
      <c r="A1787" s="715">
        <f>IF(ster!$A$1=1,names!B1787,IF(ster!$A$1=2,names!C1787))</f>
        <v>0</v>
      </c>
      <c r="B1787" s="716"/>
      <c r="C1787" s="716"/>
      <c r="D1787" s="716"/>
    </row>
    <row r="1788" spans="1:4">
      <c r="A1788" s="715" t="str">
        <f>IF(ster!$A$1=1,names!B1788,IF(ster!$A$1=2,names!C1788))</f>
        <v>Środki pieniężne i ich ekwiwalenty na koniec okresu</v>
      </c>
      <c r="B1788" s="716" t="s">
        <v>6</v>
      </c>
      <c r="C1788" s="716" t="s">
        <v>1433</v>
      </c>
      <c r="D1788" s="716"/>
    </row>
    <row r="1789" spans="1:4">
      <c r="A1789" s="715" t="str">
        <f>IF(ster!$A$1=1,names!B1789,IF(ster!$A$1=2,names!C1789))</f>
        <v>w tym środki pieniężne o ograniczonej możliwości dysponowania</v>
      </c>
      <c r="B1789" s="716" t="s">
        <v>377</v>
      </c>
      <c r="C1789" s="716" t="s">
        <v>1190</v>
      </c>
      <c r="D1789" s="716"/>
    </row>
    <row r="1790" spans="1:4">
      <c r="A1790" s="715">
        <f>IF(ster!$A$1=1,names!B1790,IF(ster!$A$1=2,names!C1790))</f>
        <v>0</v>
      </c>
      <c r="B1790" s="716"/>
      <c r="C1790" s="716"/>
      <c r="D1790" s="716"/>
    </row>
    <row r="1791" spans="1:4">
      <c r="A1791" s="715" t="str">
        <f>IF(ster!$A$1=1,names!B1791,IF(ster!$A$1=2,names!C1791))</f>
        <v>*) Dane przekształcone.</v>
      </c>
      <c r="B1791" s="716" t="s">
        <v>457</v>
      </c>
      <c r="C1791" s="716" t="s">
        <v>1005</v>
      </c>
      <c r="D1791" s="716"/>
    </row>
    <row r="1792" spans="1:4" ht="32.25">
      <c r="A1792" s="715" t="str">
        <f>IF(ster!$A$1=1,names!B1792,IF(ster!$A$1=2,names!C1792))</f>
        <v>I kw.
2021*</v>
      </c>
      <c r="B1792" s="716" t="s">
        <v>506</v>
      </c>
      <c r="C1792" s="716" t="s">
        <v>1011</v>
      </c>
      <c r="D1792" s="716"/>
    </row>
    <row r="1793" spans="1:5" ht="32.25">
      <c r="A1793" s="715" t="str">
        <f>IF(ster!$A$1=1,names!B1793,IF(ster!$A$1=2,names!C1793))</f>
        <v>II kw.
2021*</v>
      </c>
      <c r="B1793" s="716" t="s">
        <v>595</v>
      </c>
      <c r="C1793" s="716" t="s">
        <v>1103</v>
      </c>
      <c r="D1793" s="716"/>
    </row>
    <row r="1794" spans="1:5" ht="32.25">
      <c r="A1794" s="715" t="str">
        <f>IF(ster!$A$1=1,names!B1794,IF(ster!$A$1=2,names!C1794))</f>
        <v>III kw.
2021*</v>
      </c>
      <c r="B1794" s="716" t="s">
        <v>599</v>
      </c>
      <c r="C1794" s="716" t="s">
        <v>1635</v>
      </c>
      <c r="D1794" s="716"/>
    </row>
    <row r="1795" spans="1:5" ht="32.25">
      <c r="A1795" s="715" t="str">
        <f>IF(ster!$A$1=1,names!B1795,IF(ster!$A$1=2,names!C1795))</f>
        <v>IV kw.
2021</v>
      </c>
      <c r="B1795" s="716" t="s">
        <v>489</v>
      </c>
      <c r="C1795" s="716" t="s">
        <v>963</v>
      </c>
      <c r="D1795" s="716"/>
    </row>
    <row r="1796" spans="1:5" ht="32.25">
      <c r="A1796" s="715" t="str">
        <f>IF(ster!$A$1=1,names!B1796,IF(ster!$A$1=2,names!C1796))</f>
        <v>12 m-cy
2021</v>
      </c>
      <c r="B1796" s="716" t="s">
        <v>490</v>
      </c>
      <c r="C1796" s="716" t="s">
        <v>857</v>
      </c>
      <c r="D1796" s="716"/>
    </row>
    <row r="1797" spans="1:5">
      <c r="A1797" s="715">
        <f>IF(ster!$A$1=1,names!B1797,IF(ster!$A$1=2,names!C1797))</f>
        <v>0</v>
      </c>
      <c r="B1797" s="716"/>
      <c r="C1797" s="716"/>
      <c r="D1797" s="716"/>
    </row>
    <row r="1798" spans="1:5">
      <c r="A1798" s="715" t="str">
        <f>IF(ster!$A$1=1,names!B1798,IF(ster!$A$1=2,names!C1798))</f>
        <v>Skonsolidowane sprawozdanie z przepływów pieniężnych</v>
      </c>
      <c r="B1798" s="717" t="s">
        <v>267</v>
      </c>
      <c r="C1798" s="716" t="s">
        <v>1146</v>
      </c>
      <c r="D1798" s="716"/>
      <c r="E1798" s="709" t="s">
        <v>1498</v>
      </c>
    </row>
    <row r="1799" spans="1:5">
      <c r="A1799" s="715">
        <f>IF(ster!$A$1=1,names!B1799,IF(ster!$A$1=2,names!C1799))</f>
        <v>0</v>
      </c>
      <c r="B1799" s="716"/>
      <c r="C1799" s="716"/>
      <c r="D1799" s="716"/>
    </row>
    <row r="1800" spans="1:5" ht="32.25">
      <c r="A1800" s="715" t="str">
        <f>IF(ster!$A$1=1,names!B1800,IF(ster!$A$1=2,names!C1800))</f>
        <v>Wyszczególnienie, 
mln PLN</v>
      </c>
      <c r="B1800" s="716" t="s">
        <v>161</v>
      </c>
      <c r="C1800" s="716" t="s">
        <v>948</v>
      </c>
      <c r="D1800" s="716"/>
    </row>
    <row r="1801" spans="1:5">
      <c r="A1801" s="715">
        <f>IF(ster!$A$1=1,names!B1801,IF(ster!$A$1=2,names!C1801))</f>
        <v>0</v>
      </c>
      <c r="B1801" s="716"/>
      <c r="C1801" s="716"/>
      <c r="D1801" s="716"/>
    </row>
    <row r="1802" spans="1:5">
      <c r="A1802" s="715" t="str">
        <f>IF(ster!$A$1=1,names!B1802,IF(ster!$A$1=2,names!C1802))</f>
        <v>Przepływy pieniężne z działalności operacyjnej</v>
      </c>
      <c r="B1802" s="716" t="s">
        <v>80</v>
      </c>
      <c r="C1802" s="716" t="s">
        <v>1147</v>
      </c>
      <c r="D1802" s="716"/>
    </row>
    <row r="1803" spans="1:5">
      <c r="A1803" s="715" t="str">
        <f>IF(ster!$A$1=1,names!B1803,IF(ster!$A$1=2,names!C1803))</f>
        <v>Zysk/(Strata) przed opodatkowaniem</v>
      </c>
      <c r="B1803" s="716" t="s">
        <v>125</v>
      </c>
      <c r="C1803" s="716" t="s">
        <v>1081</v>
      </c>
      <c r="D1803" s="716"/>
    </row>
    <row r="1804" spans="1:5">
      <c r="A1804" s="715" t="str">
        <f>IF(ster!$A$1=1,names!B1804,IF(ster!$A$1=2,names!C1804))</f>
        <v>Korekty o pozycje:</v>
      </c>
      <c r="B1804" s="716" t="s">
        <v>90</v>
      </c>
      <c r="C1804" s="716" t="s">
        <v>1148</v>
      </c>
      <c r="D1804" s="716"/>
    </row>
    <row r="1805" spans="1:5" ht="32.25">
      <c r="A1805" s="715" t="str">
        <f>IF(ster!$A$1=1,names!B1805,IF(ster!$A$1=2,names!C1805))</f>
        <v>Udział w wyniku finansowym jednostek wycenianych metodą praw własności</v>
      </c>
      <c r="B1805" s="716" t="s">
        <v>24</v>
      </c>
      <c r="C1805" s="716" t="s">
        <v>996</v>
      </c>
      <c r="D1805" s="716"/>
    </row>
    <row r="1806" spans="1:5">
      <c r="A1806" s="715" t="str">
        <f>IF(ster!$A$1=1,names!B1806,IF(ster!$A$1=2,names!C1806))</f>
        <v>Amortyzacja</v>
      </c>
      <c r="B1806" s="716" t="s">
        <v>91</v>
      </c>
      <c r="C1806" s="716" t="s">
        <v>1149</v>
      </c>
      <c r="D1806" s="716"/>
    </row>
    <row r="1807" spans="1:5">
      <c r="A1807" s="715" t="str">
        <f>IF(ster!$A$1=1,names!B1807,IF(ster!$A$1=2,names!C1807))</f>
        <v>(Zysk)/Strata z tytułu różnic kursowych</v>
      </c>
      <c r="B1807" s="716" t="s">
        <v>124</v>
      </c>
      <c r="C1807" s="716" t="s">
        <v>1150</v>
      </c>
      <c r="D1807" s="716"/>
    </row>
    <row r="1808" spans="1:5">
      <c r="A1808" s="715" t="str">
        <f>IF(ster!$A$1=1,names!B1808,IF(ster!$A$1=2,names!C1808))</f>
        <v>Odsetki netto</v>
      </c>
      <c r="B1808" s="716" t="s">
        <v>3</v>
      </c>
      <c r="C1808" s="716" t="s">
        <v>1151</v>
      </c>
      <c r="D1808" s="716"/>
    </row>
    <row r="1809" spans="1:4">
      <c r="A1809" s="715" t="str">
        <f>IF(ster!$A$1=1,names!B1809,IF(ster!$A$1=2,names!C1809))</f>
        <v>Dywidendy</v>
      </c>
      <c r="B1809" s="716" t="s">
        <v>19</v>
      </c>
      <c r="C1809" s="716" t="s">
        <v>1152</v>
      </c>
      <c r="D1809" s="716"/>
    </row>
    <row r="1810" spans="1:4">
      <c r="A1810" s="715" t="str">
        <f>IF(ster!$A$1=1,names!B1810,IF(ster!$A$1=2,names!C1810))</f>
        <v>(Zysk)/Strata na działalności inwestycyjnej</v>
      </c>
      <c r="B1810" s="716" t="s">
        <v>144</v>
      </c>
      <c r="C1810" s="716" t="s">
        <v>1153</v>
      </c>
      <c r="D1810" s="716"/>
    </row>
    <row r="1811" spans="1:4">
      <c r="A1811" s="715" t="str">
        <f>IF(ster!$A$1=1,names!B1811,IF(ster!$A$1=2,names!C1811))</f>
        <v xml:space="preserve">Zmiana stanu rezerw </v>
      </c>
      <c r="B1811" s="716" t="s">
        <v>27</v>
      </c>
      <c r="C1811" s="716" t="s">
        <v>1154</v>
      </c>
      <c r="D1811" s="716"/>
    </row>
    <row r="1812" spans="1:4">
      <c r="A1812" s="715" t="str">
        <f>IF(ster!$A$1=1,names!B1812,IF(ster!$A$1=2,names!C1812))</f>
        <v>Zmiana stanu kapitału pracującego</v>
      </c>
      <c r="B1812" s="716" t="s">
        <v>112</v>
      </c>
      <c r="C1812" s="716" t="s">
        <v>1155</v>
      </c>
      <c r="D1812" s="716"/>
    </row>
    <row r="1813" spans="1:4">
      <c r="A1813" s="715" t="str">
        <f>IF(ster!$A$1=1,names!B1813,IF(ster!$A$1=2,names!C1813))</f>
        <v>zapasy</v>
      </c>
      <c r="B1813" s="716" t="s">
        <v>113</v>
      </c>
      <c r="C1813" s="716" t="s">
        <v>1156</v>
      </c>
      <c r="D1813" s="716"/>
    </row>
    <row r="1814" spans="1:4">
      <c r="A1814" s="715" t="str">
        <f>IF(ster!$A$1=1,names!B1814,IF(ster!$A$1=2,names!C1814))</f>
        <v>należności</v>
      </c>
      <c r="B1814" s="716" t="s">
        <v>114</v>
      </c>
      <c r="C1814" s="716" t="s">
        <v>1157</v>
      </c>
      <c r="D1814" s="716"/>
    </row>
    <row r="1815" spans="1:4">
      <c r="A1815" s="715" t="str">
        <f>IF(ster!$A$1=1,names!B1815,IF(ster!$A$1=2,names!C1815))</f>
        <v>zobowiązania</v>
      </c>
      <c r="B1815" s="716" t="s">
        <v>115</v>
      </c>
      <c r="C1815" s="716" t="s">
        <v>1158</v>
      </c>
      <c r="D1815" s="716"/>
    </row>
    <row r="1816" spans="1:4">
      <c r="A1816" s="715" t="str">
        <f>IF(ster!$A$1=1,names!B1816,IF(ster!$A$1=2,names!C1816))</f>
        <v>Pozostałe korekty</v>
      </c>
      <c r="B1816" s="716" t="s">
        <v>92</v>
      </c>
      <c r="C1816" s="716" t="s">
        <v>1410</v>
      </c>
      <c r="D1816" s="716"/>
    </row>
    <row r="1817" spans="1:4">
      <c r="A1817" s="715" t="str">
        <f>IF(ster!$A$1=1,names!B1817,IF(ster!$A$1=2,names!C1817))</f>
        <v>Podatek dochodowy (zapłacony)</v>
      </c>
      <c r="B1817" s="716" t="s">
        <v>4</v>
      </c>
      <c r="C1817" s="716" t="s">
        <v>1164</v>
      </c>
      <c r="D1817" s="716"/>
    </row>
    <row r="1818" spans="1:4" ht="32.25">
      <c r="A1818" s="715" t="str">
        <f>IF(ster!$A$1=1,names!B1818,IF(ster!$A$1=2,names!C1818))</f>
        <v>Środki pieniężne netto z/(wykorzystane w) działalności operacyjnej</v>
      </c>
      <c r="B1818" s="716" t="s">
        <v>168</v>
      </c>
      <c r="C1818" s="716" t="s">
        <v>1165</v>
      </c>
      <c r="D1818" s="716"/>
    </row>
    <row r="1819" spans="1:4">
      <c r="A1819" s="715" t="str">
        <f>IF(ster!$A$1=1,names!B1819,IF(ster!$A$1=2,names!C1819))</f>
        <v>Przepływy pieniężne z działalności inwestycyjnej</v>
      </c>
      <c r="B1819" s="716" t="s">
        <v>46</v>
      </c>
      <c r="C1819" s="716" t="s">
        <v>1166</v>
      </c>
      <c r="D1819" s="716"/>
    </row>
    <row r="1820" spans="1:4" ht="48">
      <c r="A1820" s="715" t="str">
        <f>IF(ster!$A$1=1,names!B1820,IF(ster!$A$1=2,names!C1820))</f>
        <v>Nabycie składników rzeczowego majątku trwałego, 
wartości niematerialnych i aktywów z tytułu praw do użytkowania</v>
      </c>
      <c r="B1820" s="716" t="s">
        <v>382</v>
      </c>
      <c r="C1820" s="716" t="s">
        <v>1167</v>
      </c>
      <c r="D1820" s="716"/>
    </row>
    <row r="1821" spans="1:4">
      <c r="A1821" s="715" t="str">
        <f>IF(ster!$A$1=1,names!B1821,IF(ster!$A$1=2,names!C1821))</f>
        <v>Nabycie akcji/udziałów pomniejszone o środki pieniężne</v>
      </c>
      <c r="B1821" s="716" t="s">
        <v>502</v>
      </c>
      <c r="C1821" s="716" t="s">
        <v>1174</v>
      </c>
      <c r="D1821" s="716"/>
    </row>
    <row r="1822" spans="1:4" ht="48">
      <c r="A1822" s="715" t="str">
        <f>IF(ster!$A$1=1,names!B1822,IF(ster!$A$1=2,names!C1822))</f>
        <v>Wpływy ze sprzedaży akcji/udziałów w związku z realizacją Środków Zaradczych oraz zbycia 30% udziałów w Rafinerii Gdańskiej</v>
      </c>
      <c r="B1822" s="716" t="s">
        <v>660</v>
      </c>
      <c r="C1822" s="716" t="s">
        <v>1499</v>
      </c>
      <c r="D1822" s="716"/>
    </row>
    <row r="1823" spans="1:4">
      <c r="A1823" s="715" t="str">
        <f>IF(ster!$A$1=1,names!B1823,IF(ster!$A$1=2,names!C1823))</f>
        <v>Nabycie aktywów finansowych w ORLEN VC</v>
      </c>
      <c r="B1823" s="716" t="s">
        <v>594</v>
      </c>
      <c r="C1823" s="716" t="s">
        <v>1500</v>
      </c>
      <c r="D1823" s="716"/>
    </row>
    <row r="1824" spans="1:4" ht="48">
      <c r="A1824" s="715" t="str">
        <f>IF(ster!$A$1=1,names!B1824,IF(ster!$A$1=2,names!C1824))</f>
        <v>Sprzedaż składników rzeczowego majątku trwałego, 
wartości niematerialnych i aktywów z tytułu praw do użytkowania</v>
      </c>
      <c r="B1824" s="716" t="s">
        <v>383</v>
      </c>
      <c r="C1824" s="716" t="s">
        <v>1496</v>
      </c>
      <c r="D1824" s="716"/>
    </row>
    <row r="1825" spans="1:4">
      <c r="A1825" s="715" t="str">
        <f>IF(ster!$A$1=1,names!B1825,IF(ster!$A$1=2,names!C1825))</f>
        <v>Lokaty krótkoterminowe</v>
      </c>
      <c r="B1825" s="716" t="s">
        <v>420</v>
      </c>
      <c r="C1825" s="716" t="s">
        <v>1479</v>
      </c>
      <c r="D1825" s="716"/>
    </row>
    <row r="1826" spans="1:4">
      <c r="A1826" s="715" t="str">
        <f>IF(ster!$A$1=1,names!B1826,IF(ster!$A$1=2,names!C1826))</f>
        <v>Dywidendy otrzymane</v>
      </c>
      <c r="B1826" s="716" t="s">
        <v>26</v>
      </c>
      <c r="C1826" s="716" t="s">
        <v>1172</v>
      </c>
      <c r="D1826" s="716"/>
    </row>
    <row r="1827" spans="1:4">
      <c r="A1827" s="715" t="str">
        <f>IF(ster!$A$1=1,names!B1827,IF(ster!$A$1=2,names!C1827))</f>
        <v>Wpływy/(Wydatki) netto z tytułu pożyczek</v>
      </c>
      <c r="B1827" s="716" t="s">
        <v>632</v>
      </c>
      <c r="C1827" s="716" t="s">
        <v>1501</v>
      </c>
      <c r="D1827" s="716"/>
    </row>
    <row r="1828" spans="1:4" ht="32.25">
      <c r="A1828" s="715" t="str">
        <f>IF(ster!$A$1=1,names!B1828,IF(ster!$A$1=2,names!C1828))</f>
        <v>Środki pieniężne na dzień ustalenia wspólnego działania w Rafinerii Gdańskiej</v>
      </c>
      <c r="B1828" s="716" t="s">
        <v>659</v>
      </c>
      <c r="C1828" s="716" t="s">
        <v>1450</v>
      </c>
      <c r="D1828" s="716"/>
    </row>
    <row r="1829" spans="1:4" ht="32.25">
      <c r="A1829" s="715" t="str">
        <f>IF(ster!$A$1=1,names!B1829,IF(ster!$A$1=2,names!C1829))</f>
        <v>Środki pieniężne w nabytych spółkach Grupy LOTOS na dzień połączenia</v>
      </c>
      <c r="B1829" s="716" t="s">
        <v>611</v>
      </c>
      <c r="C1829" s="716" t="s">
        <v>1502</v>
      </c>
      <c r="D1829" s="716"/>
    </row>
    <row r="1830" spans="1:4" ht="32.25">
      <c r="A1830" s="715" t="str">
        <f>IF(ster!$A$1=1,names!B1830,IF(ster!$A$1=2,names!C1830))</f>
        <v>Środki pieniężne w nabytych spółkach Grupy Kapitałowej PGNiG na dzień połączenia</v>
      </c>
      <c r="B1830" s="716" t="s">
        <v>633</v>
      </c>
      <c r="C1830" s="716" t="s">
        <v>1503</v>
      </c>
      <c r="D1830" s="716"/>
    </row>
    <row r="1831" spans="1:4">
      <c r="A1831" s="715" t="str">
        <f>IF(ster!$A$1=1,names!B1831,IF(ster!$A$1=2,names!C1831))</f>
        <v>Pozostałe</v>
      </c>
      <c r="B1831" s="716" t="s">
        <v>47</v>
      </c>
      <c r="C1831" s="716" t="s">
        <v>935</v>
      </c>
      <c r="D1831" s="716"/>
    </row>
    <row r="1832" spans="1:4" ht="32.25">
      <c r="A1832" s="715" t="str">
        <f>IF(ster!$A$1=1,names!B1832,IF(ster!$A$1=2,names!C1832))</f>
        <v>Środki pieniężne netto z/(wykorzystane w) działalności inwestycyjnej</v>
      </c>
      <c r="B1832" s="716" t="s">
        <v>294</v>
      </c>
      <c r="C1832" s="716" t="s">
        <v>1175</v>
      </c>
      <c r="D1832" s="716"/>
    </row>
    <row r="1833" spans="1:4">
      <c r="A1833" s="715" t="str">
        <f>IF(ster!$A$1=1,names!B1833,IF(ster!$A$1=2,names!C1833))</f>
        <v>Przepływy pieniężne z działalności finansowej</v>
      </c>
      <c r="B1833" s="716" t="s">
        <v>48</v>
      </c>
      <c r="C1833" s="716" t="s">
        <v>1176</v>
      </c>
      <c r="D1833" s="716"/>
    </row>
    <row r="1834" spans="1:4">
      <c r="A1834" s="715" t="str">
        <f>IF(ster!$A$1=1,names!B1834,IF(ster!$A$1=2,names!C1834))</f>
        <v>Wpływy z otrzymanych kredytów i pożyczek</v>
      </c>
      <c r="B1834" s="716" t="s">
        <v>1</v>
      </c>
      <c r="C1834" s="716" t="s">
        <v>1177</v>
      </c>
      <c r="D1834" s="716"/>
    </row>
    <row r="1835" spans="1:4">
      <c r="A1835" s="715" t="str">
        <f>IF(ster!$A$1=1,names!B1835,IF(ster!$A$1=2,names!C1835))</f>
        <v>Spłaty kredytów i pożyczek</v>
      </c>
      <c r="B1835" s="716" t="s">
        <v>2</v>
      </c>
      <c r="C1835" s="716" t="s">
        <v>1178</v>
      </c>
      <c r="D1835" s="716"/>
    </row>
    <row r="1836" spans="1:4">
      <c r="A1836" s="715" t="str">
        <f>IF(ster!$A$1=1,names!B1836,IF(ster!$A$1=2,names!C1836))</f>
        <v>Wykup obligacji</v>
      </c>
      <c r="B1836" s="716" t="s">
        <v>318</v>
      </c>
      <c r="C1836" s="716" t="s">
        <v>1179</v>
      </c>
      <c r="D1836" s="716"/>
    </row>
    <row r="1837" spans="1:4">
      <c r="A1837" s="715" t="str">
        <f>IF(ster!$A$1=1,names!B1837,IF(ster!$A$1=2,names!C1837))</f>
        <v>Odsetki zapłacone od kredytów, pożyczek i obligacji</v>
      </c>
      <c r="B1837" s="716" t="s">
        <v>511</v>
      </c>
      <c r="C1837" s="716" t="s">
        <v>1470</v>
      </c>
      <c r="D1837" s="716"/>
    </row>
    <row r="1838" spans="1:4">
      <c r="A1838" s="715" t="str">
        <f>IF(ster!$A$1=1,names!B1838,IF(ster!$A$1=2,names!C1838))</f>
        <v>Odsetki zapłacone z tytułu leasingu</v>
      </c>
      <c r="B1838" s="716" t="s">
        <v>380</v>
      </c>
      <c r="C1838" s="716" t="s">
        <v>1181</v>
      </c>
      <c r="D1838" s="716"/>
    </row>
    <row r="1839" spans="1:4">
      <c r="A1839" s="715" t="str">
        <f>IF(ster!$A$1=1,names!B1839,IF(ster!$A$1=2,names!C1839))</f>
        <v>Dywidendy wypłacone</v>
      </c>
      <c r="B1839" s="716" t="s">
        <v>127</v>
      </c>
      <c r="C1839" s="716" t="s">
        <v>1182</v>
      </c>
      <c r="D1839" s="716"/>
    </row>
    <row r="1840" spans="1:4">
      <c r="A1840" s="715" t="str">
        <f>IF(ster!$A$1=1,names!B1840,IF(ster!$A$1=2,names!C1840))</f>
        <v>Płatności zobowiązań z tytułu umów leasingu</v>
      </c>
      <c r="B1840" s="716" t="s">
        <v>378</v>
      </c>
      <c r="C1840" s="716" t="s">
        <v>1183</v>
      </c>
      <c r="D1840" s="716"/>
    </row>
    <row r="1841" spans="1:5">
      <c r="A1841" s="715" t="str">
        <f>IF(ster!$A$1=1,names!B1841,IF(ster!$A$1=2,names!C1841))</f>
        <v>Otrzymane dotacje</v>
      </c>
      <c r="B1841" s="716" t="s">
        <v>159</v>
      </c>
      <c r="C1841" s="716" t="s">
        <v>1184</v>
      </c>
      <c r="D1841" s="716"/>
    </row>
    <row r="1842" spans="1:5">
      <c r="A1842" s="715" t="str">
        <f>IF(ster!$A$1=1,names!B1842,IF(ster!$A$1=2,names!C1842))</f>
        <v>Pozostałe</v>
      </c>
      <c r="B1842" s="716" t="s">
        <v>47</v>
      </c>
      <c r="C1842" s="716" t="s">
        <v>935</v>
      </c>
      <c r="D1842" s="716"/>
    </row>
    <row r="1843" spans="1:5" ht="32.25">
      <c r="A1843" s="715" t="str">
        <f>IF(ster!$A$1=1,names!B1843,IF(ster!$A$1=2,names!C1843))</f>
        <v>Środki pieniężne netto z/(wykorzystane w) działalności finansowej</v>
      </c>
      <c r="B1843" s="716" t="s">
        <v>145</v>
      </c>
      <c r="C1843" s="716" t="s">
        <v>1185</v>
      </c>
      <c r="D1843" s="716"/>
    </row>
    <row r="1844" spans="1:5">
      <c r="A1844" s="715">
        <f>IF(ster!$A$1=1,names!B1844,IF(ster!$A$1=2,names!C1844))</f>
        <v>0</v>
      </c>
      <c r="B1844" s="716"/>
      <c r="C1844" s="716"/>
      <c r="D1844" s="716"/>
    </row>
    <row r="1845" spans="1:5">
      <c r="A1845" s="715" t="str">
        <f>IF(ster!$A$1=1,names!B1845,IF(ster!$A$1=2,names!C1845))</f>
        <v>Zwiększenie/(Zmniejszenie) netto stanu środków pieniężnych</v>
      </c>
      <c r="B1845" s="716" t="s">
        <v>612</v>
      </c>
      <c r="C1845" s="716" t="s">
        <v>1186</v>
      </c>
      <c r="D1845" s="716"/>
    </row>
    <row r="1846" spans="1:5" ht="32.25">
      <c r="A1846" s="715" t="str">
        <f>IF(ster!$A$1=1,names!B1846,IF(ster!$A$1=2,names!C1846))</f>
        <v>Zmiana stanu środków pieniężnych i ich ekwiwalentów z tytułu różnic kursowych</v>
      </c>
      <c r="B1846" s="716" t="s">
        <v>5</v>
      </c>
      <c r="C1846" s="716" t="s">
        <v>1187</v>
      </c>
      <c r="D1846" s="716"/>
    </row>
    <row r="1847" spans="1:5">
      <c r="A1847" s="715" t="str">
        <f>IF(ster!$A$1=1,names!B1847,IF(ster!$A$1=2,names!C1847))</f>
        <v>Środki pieniężne i ich ekwiwalenty na początek okresu</v>
      </c>
      <c r="B1847" s="716" t="s">
        <v>299</v>
      </c>
      <c r="C1847" s="716" t="s">
        <v>1188</v>
      </c>
      <c r="D1847" s="716"/>
    </row>
    <row r="1848" spans="1:5">
      <c r="A1848" s="715">
        <f>IF(ster!$A$1=1,names!B1848,IF(ster!$A$1=2,names!C1848))</f>
        <v>0</v>
      </c>
      <c r="B1848" s="716"/>
      <c r="C1848" s="716"/>
      <c r="D1848" s="716"/>
    </row>
    <row r="1849" spans="1:5">
      <c r="A1849" s="715" t="str">
        <f>IF(ster!$A$1=1,names!B1849,IF(ster!$A$1=2,names!C1849))</f>
        <v>Środki pieniężne na koniec okresu</v>
      </c>
      <c r="B1849" s="716" t="s">
        <v>613</v>
      </c>
      <c r="C1849" s="716" t="s">
        <v>1189</v>
      </c>
      <c r="D1849" s="716"/>
    </row>
    <row r="1850" spans="1:5">
      <c r="A1850" s="715" t="str">
        <f>IF(ster!$A$1=1,names!B1850,IF(ster!$A$1=2,names!C1850))</f>
        <v>w tym środki pieniężne o ograniczonej możliwości dysponowania</v>
      </c>
      <c r="B1850" s="716" t="s">
        <v>377</v>
      </c>
      <c r="C1850" s="716" t="s">
        <v>1190</v>
      </c>
      <c r="D1850" s="716"/>
    </row>
    <row r="1851" spans="1:5">
      <c r="A1851" s="715">
        <f>IF(ster!$A$1=1,names!B1851,IF(ster!$A$1=2,names!C1851))</f>
        <v>0</v>
      </c>
      <c r="B1851" s="716"/>
      <c r="C1851" s="716"/>
      <c r="D1851" s="716"/>
    </row>
    <row r="1852" spans="1:5">
      <c r="A1852" s="715" t="str">
        <f>IF(ster!$A$1=1,names!B1852,IF(ster!$A$1=2,names!C1852))</f>
        <v>Skonsolidowane sprawozdanie z przepływów pieniężnych</v>
      </c>
      <c r="B1852" s="717" t="s">
        <v>267</v>
      </c>
      <c r="C1852" s="716" t="s">
        <v>1146</v>
      </c>
      <c r="D1852" s="716"/>
      <c r="E1852" s="709" t="s">
        <v>1504</v>
      </c>
    </row>
    <row r="1853" spans="1:5">
      <c r="A1853" s="715">
        <f>IF(ster!$A$1=1,names!B1853,IF(ster!$A$1=2,names!C1853))</f>
        <v>0</v>
      </c>
      <c r="B1853" s="716"/>
      <c r="C1853" s="716"/>
      <c r="D1853" s="716"/>
    </row>
    <row r="1854" spans="1:5" ht="32.25">
      <c r="A1854" s="715" t="str">
        <f>IF(ster!$A$1=1,names!B1854,IF(ster!$A$1=2,names!C1854))</f>
        <v>Wyszczególnienie, 
mln PLN</v>
      </c>
      <c r="B1854" s="716" t="s">
        <v>161</v>
      </c>
      <c r="C1854" s="716" t="s">
        <v>948</v>
      </c>
      <c r="D1854" s="716"/>
    </row>
    <row r="1855" spans="1:5">
      <c r="A1855" s="715">
        <f>IF(ster!$A$1=1,names!B1855,IF(ster!$A$1=2,names!C1855))</f>
        <v>0</v>
      </c>
      <c r="B1855" s="716"/>
      <c r="C1855" s="716"/>
      <c r="D1855" s="716"/>
    </row>
    <row r="1856" spans="1:5">
      <c r="A1856" s="715" t="str">
        <f>IF(ster!$A$1=1,names!B1856,IF(ster!$A$1=2,names!C1856))</f>
        <v>Przepływy pieniężne z działalności operacyjnej</v>
      </c>
      <c r="B1856" s="716" t="s">
        <v>80</v>
      </c>
      <c r="C1856" s="716" t="s">
        <v>1147</v>
      </c>
      <c r="D1856" s="716"/>
    </row>
    <row r="1857" spans="1:4">
      <c r="A1857" s="715" t="str">
        <f>IF(ster!$A$1=1,names!B1857,IF(ster!$A$1=2,names!C1857))</f>
        <v>Zysk/(Strata) przed opodatkowaniem</v>
      </c>
      <c r="B1857" s="716" t="s">
        <v>125</v>
      </c>
      <c r="C1857" s="716" t="s">
        <v>1081</v>
      </c>
      <c r="D1857" s="716"/>
    </row>
    <row r="1858" spans="1:4">
      <c r="A1858" s="715" t="str">
        <f>IF(ster!$A$1=1,names!B1858,IF(ster!$A$1=2,names!C1858))</f>
        <v>Korekty o pozycje:</v>
      </c>
      <c r="B1858" s="716" t="s">
        <v>90</v>
      </c>
      <c r="C1858" s="716" t="s">
        <v>1148</v>
      </c>
      <c r="D1858" s="716"/>
    </row>
    <row r="1859" spans="1:4" ht="32.25">
      <c r="A1859" s="715" t="str">
        <f>IF(ster!$A$1=1,names!B1859,IF(ster!$A$1=2,names!C1859))</f>
        <v>Udział w wyniku finansowym jednostek wycenianych metodą praw własności</v>
      </c>
      <c r="B1859" s="716" t="s">
        <v>24</v>
      </c>
      <c r="C1859" s="716" t="s">
        <v>996</v>
      </c>
      <c r="D1859" s="716"/>
    </row>
    <row r="1860" spans="1:4">
      <c r="A1860" s="715" t="str">
        <f>IF(ster!$A$1=1,names!B1860,IF(ster!$A$1=2,names!C1860))</f>
        <v>Amortyzacja</v>
      </c>
      <c r="B1860" s="716" t="s">
        <v>91</v>
      </c>
      <c r="C1860" s="716" t="s">
        <v>1149</v>
      </c>
      <c r="D1860" s="716"/>
    </row>
    <row r="1861" spans="1:4">
      <c r="A1861" s="715" t="str">
        <f>IF(ster!$A$1=1,names!B1861,IF(ster!$A$1=2,names!C1861))</f>
        <v>(Zysk)/Strata z tytułu różnic kursowych</v>
      </c>
      <c r="B1861" s="716" t="s">
        <v>124</v>
      </c>
      <c r="C1861" s="716" t="s">
        <v>1150</v>
      </c>
      <c r="D1861" s="716"/>
    </row>
    <row r="1862" spans="1:4">
      <c r="A1862" s="715" t="str">
        <f>IF(ster!$A$1=1,names!B1862,IF(ster!$A$1=2,names!C1862))</f>
        <v>Odsetki netto i dywidendy</v>
      </c>
      <c r="B1862" s="716" t="s">
        <v>1648</v>
      </c>
      <c r="C1862" s="716" t="s">
        <v>1979</v>
      </c>
      <c r="D1862" s="716"/>
    </row>
    <row r="1863" spans="1:4">
      <c r="A1863" s="715" t="str">
        <f>IF(ster!$A$1=1,names!B1863,IF(ster!$A$1=2,names!C1863))</f>
        <v>(Zysk)/Strata na działalności inwestycyjnej</v>
      </c>
      <c r="B1863" s="716" t="s">
        <v>144</v>
      </c>
      <c r="C1863" s="716" t="s">
        <v>1153</v>
      </c>
      <c r="D1863" s="716"/>
    </row>
    <row r="1864" spans="1:4">
      <c r="A1864" s="715" t="str">
        <f>IF(ster!$A$1=1,names!B1864,IF(ster!$A$1=2,names!C1864))</f>
        <v xml:space="preserve">Zmiana stanu rezerw </v>
      </c>
      <c r="B1864" s="716" t="s">
        <v>27</v>
      </c>
      <c r="C1864" s="716" t="s">
        <v>1154</v>
      </c>
      <c r="D1864" s="716"/>
    </row>
    <row r="1865" spans="1:4">
      <c r="A1865" s="715" t="str">
        <f>IF(ster!$A$1=1,names!B1865,IF(ster!$A$1=2,names!C1865))</f>
        <v>Zmiana stanu kapitału pracującego</v>
      </c>
      <c r="B1865" s="716" t="s">
        <v>112</v>
      </c>
      <c r="C1865" s="716" t="s">
        <v>1155</v>
      </c>
      <c r="D1865" s="716"/>
    </row>
    <row r="1866" spans="1:4">
      <c r="A1866" s="715" t="str">
        <f>IF(ster!$A$1=1,names!B1866,IF(ster!$A$1=2,names!C1866))</f>
        <v>zapasy</v>
      </c>
      <c r="B1866" s="716" t="s">
        <v>113</v>
      </c>
      <c r="C1866" s="716" t="s">
        <v>1156</v>
      </c>
      <c r="D1866" s="716"/>
    </row>
    <row r="1867" spans="1:4">
      <c r="A1867" s="715" t="str">
        <f>IF(ster!$A$1=1,names!B1867,IF(ster!$A$1=2,names!C1867))</f>
        <v>należności</v>
      </c>
      <c r="B1867" s="716" t="s">
        <v>114</v>
      </c>
      <c r="C1867" s="716" t="s">
        <v>1157</v>
      </c>
      <c r="D1867" s="716"/>
    </row>
    <row r="1868" spans="1:4">
      <c r="A1868" s="715" t="str">
        <f>IF(ster!$A$1=1,names!B1868,IF(ster!$A$1=2,names!C1868))</f>
        <v>zobowiązania</v>
      </c>
      <c r="B1868" s="716" t="s">
        <v>115</v>
      </c>
      <c r="C1868" s="716" t="s">
        <v>1158</v>
      </c>
      <c r="D1868" s="716"/>
    </row>
    <row r="1869" spans="1:4">
      <c r="A1869" s="715" t="str">
        <f>IF(ster!$A$1=1,names!B1869,IF(ster!$A$1=2,names!C1869))</f>
        <v>Pozostałe korekty, w tym:</v>
      </c>
      <c r="B1869" s="716" t="s">
        <v>320</v>
      </c>
      <c r="C1869" s="716" t="s">
        <v>1159</v>
      </c>
      <c r="D1869" s="716"/>
    </row>
    <row r="1870" spans="1:4">
      <c r="A1870" s="715" t="str">
        <f>IF(ster!$A$1=1,names!B1870,IF(ster!$A$1=2,names!C1870))</f>
        <v>rozliczenie dotacji na prawa majątkowe</v>
      </c>
      <c r="B1870" s="716" t="s">
        <v>503</v>
      </c>
      <c r="C1870" s="716" t="s">
        <v>1160</v>
      </c>
      <c r="D1870" s="716"/>
    </row>
    <row r="1871" spans="1:4">
      <c r="A1871" s="715" t="str">
        <f>IF(ster!$A$1=1,names!B1871,IF(ster!$A$1=2,names!C1871))</f>
        <v>depozyty zabezpieczające</v>
      </c>
      <c r="B1871" s="716" t="s">
        <v>400</v>
      </c>
      <c r="C1871" s="716" t="s">
        <v>1161</v>
      </c>
      <c r="D1871" s="716"/>
    </row>
    <row r="1872" spans="1:4">
      <c r="A1872" s="715" t="str">
        <f>IF(ster!$A$1=1,names!B1872,IF(ster!$A$1=2,names!C1872))</f>
        <v>instrumenty pochodne</v>
      </c>
      <c r="B1872" s="716" t="s">
        <v>711</v>
      </c>
      <c r="C1872" s="716" t="s">
        <v>1162</v>
      </c>
      <c r="D1872" s="716"/>
    </row>
    <row r="1873" spans="1:4" ht="32.25">
      <c r="A1873" s="715" t="str">
        <f>IF(ster!$A$1=1,names!B1873,IF(ster!$A$1=2,names!C1873))</f>
        <v>zmiana stanu aktywów i zobowiązań z tytułu kontraktów wycenionych na moment rozliczenia połączenia jednostek</v>
      </c>
      <c r="B1873" s="716" t="s">
        <v>778</v>
      </c>
      <c r="C1873" s="716" t="s">
        <v>1163</v>
      </c>
      <c r="D1873" s="716"/>
    </row>
    <row r="1874" spans="1:4">
      <c r="A1874" s="715" t="str">
        <f>IF(ster!$A$1=1,names!B1874,IF(ster!$A$1=2,names!C1874))</f>
        <v>Podatek dochodowy (zapłacony)</v>
      </c>
      <c r="B1874" s="716" t="s">
        <v>4</v>
      </c>
      <c r="C1874" s="716" t="s">
        <v>1164</v>
      </c>
      <c r="D1874" s="716"/>
    </row>
    <row r="1875" spans="1:4" ht="32.25">
      <c r="A1875" s="715" t="str">
        <f>IF(ster!$A$1=1,names!B1875,IF(ster!$A$1=2,names!C1875))</f>
        <v>Środki pieniężne netto z/(wykorzystane w) działalności operacyjnej</v>
      </c>
      <c r="B1875" s="716" t="s">
        <v>168</v>
      </c>
      <c r="C1875" s="716" t="s">
        <v>1165</v>
      </c>
      <c r="D1875" s="716"/>
    </row>
    <row r="1876" spans="1:4">
      <c r="A1876" s="715" t="str">
        <f>IF(ster!$A$1=1,names!B1876,IF(ster!$A$1=2,names!C1876))</f>
        <v>Przepływy pieniężne z działalności inwestycyjnej</v>
      </c>
      <c r="B1876" s="716" t="s">
        <v>46</v>
      </c>
      <c r="C1876" s="716" t="s">
        <v>1166</v>
      </c>
      <c r="D1876" s="716"/>
    </row>
    <row r="1877" spans="1:4" ht="48">
      <c r="A1877" s="715" t="str">
        <f>IF(ster!$A$1=1,names!B1877,IF(ster!$A$1=2,names!C1877))</f>
        <v>Nabycie składników rzeczowego majątku trwałego, 
wartości niematerialnych i aktywów z tytułu praw do użytkowania</v>
      </c>
      <c r="B1877" s="716" t="s">
        <v>382</v>
      </c>
      <c r="C1877" s="716" t="s">
        <v>1167</v>
      </c>
      <c r="D1877" s="716"/>
    </row>
    <row r="1878" spans="1:4" ht="32.25">
      <c r="A1878" s="715" t="str">
        <f>IF(ster!$A$1=1,names!B1878,IF(ster!$A$1=2,names!C1878))</f>
        <v>Wpływy ze sprzedaży akcji/udziałów w związku z realizacją Środków Zaradczych</v>
      </c>
      <c r="B1878" s="716" t="s">
        <v>724</v>
      </c>
      <c r="C1878" s="716" t="s">
        <v>1168</v>
      </c>
      <c r="D1878" s="716"/>
    </row>
    <row r="1879" spans="1:4">
      <c r="A1879" s="715" t="str">
        <f>IF(ster!$A$1=1,names!B1879,IF(ster!$A$1=2,names!C1879))</f>
        <v>Nabycie aktywów finansowych w ORLEN VC</v>
      </c>
      <c r="B1879" s="716" t="s">
        <v>594</v>
      </c>
      <c r="C1879" s="716" t="s">
        <v>1500</v>
      </c>
      <c r="D1879" s="716"/>
    </row>
    <row r="1880" spans="1:4" ht="48">
      <c r="A1880" s="715" t="str">
        <f>IF(ster!$A$1=1,names!B1880,IF(ster!$A$1=2,names!C1880))</f>
        <v>Sprzedaż składników rzeczowego majątku trwałego, 
wartości niematerialnych i aktywów z tytułu praw do użytkowania</v>
      </c>
      <c r="B1880" s="716" t="s">
        <v>383</v>
      </c>
      <c r="C1880" s="716" t="s">
        <v>1496</v>
      </c>
      <c r="D1880" s="716"/>
    </row>
    <row r="1881" spans="1:4">
      <c r="A1881" s="715" t="str">
        <f>IF(ster!$A$1=1,names!B1881,IF(ster!$A$1=2,names!C1881))</f>
        <v>Lokaty krótkoterminowe</v>
      </c>
      <c r="B1881" s="716" t="s">
        <v>420</v>
      </c>
      <c r="C1881" s="716" t="s">
        <v>1505</v>
      </c>
      <c r="D1881" s="716"/>
    </row>
    <row r="1882" spans="1:4">
      <c r="A1882" s="715" t="str">
        <f>IF(ster!$A$1=1,names!B1882,IF(ster!$A$1=2,names!C1882))</f>
        <v>Nabycie obligacji</v>
      </c>
      <c r="B1882" s="716" t="s">
        <v>708</v>
      </c>
      <c r="C1882" s="716" t="s">
        <v>1506</v>
      </c>
      <c r="D1882" s="716"/>
    </row>
    <row r="1883" spans="1:4" ht="32.25">
      <c r="A1883" s="715" t="str">
        <f>IF(ster!$A$1=1,names!B1883,IF(ster!$A$1=2,names!C1883))</f>
        <v>Nabycie aktywów petrochemicznych pomniejszone o środki pieniężne</v>
      </c>
      <c r="B1883" s="716" t="s">
        <v>709</v>
      </c>
      <c r="C1883" s="716" t="s">
        <v>1507</v>
      </c>
      <c r="D1883" s="716"/>
    </row>
    <row r="1884" spans="1:4">
      <c r="A1884" s="715" t="str">
        <f>IF(ster!$A$1=1,names!B1884,IF(ster!$A$1=2,names!C1884))</f>
        <v>Dokapitalizowanie w inwestycjach we wspólne przedsięwzięcia</v>
      </c>
      <c r="B1884" s="716" t="s">
        <v>745</v>
      </c>
      <c r="C1884" s="716" t="s">
        <v>1170</v>
      </c>
      <c r="D1884" s="716"/>
    </row>
    <row r="1885" spans="1:4">
      <c r="A1885" s="715" t="str">
        <f>IF(ster!$A$1=1,names!B1885,IF(ster!$A$1=2,names!C1885))</f>
        <v>Odsetki otrzymane</v>
      </c>
      <c r="B1885" s="716" t="s">
        <v>28</v>
      </c>
      <c r="C1885" s="716" t="s">
        <v>1171</v>
      </c>
      <c r="D1885" s="716"/>
    </row>
    <row r="1886" spans="1:4">
      <c r="A1886" s="715" t="str">
        <f>IF(ster!$A$1=1,names!B1886,IF(ster!$A$1=2,names!C1886))</f>
        <v>Dywidendy otrzymane</v>
      </c>
      <c r="B1886" s="716" t="s">
        <v>26</v>
      </c>
      <c r="C1886" s="716" t="s">
        <v>1172</v>
      </c>
      <c r="D1886" s="716"/>
    </row>
    <row r="1887" spans="1:4">
      <c r="A1887" s="715" t="str">
        <f>IF(ster!$A$1=1,names!B1887,IF(ster!$A$1=2,names!C1887))</f>
        <v>Wpływy netto z tytułu pożyczek</v>
      </c>
      <c r="B1887" s="716" t="s">
        <v>710</v>
      </c>
      <c r="C1887" s="716" t="s">
        <v>1173</v>
      </c>
      <c r="D1887" s="716"/>
    </row>
    <row r="1888" spans="1:4">
      <c r="A1888" s="715" t="str">
        <f>IF(ster!$A$1=1,names!B1888,IF(ster!$A$1=2,names!C1888))</f>
        <v>Nabycie akcji i udziałów pomniejszone o środki pieniężne</v>
      </c>
      <c r="B1888" s="716" t="s">
        <v>744</v>
      </c>
      <c r="C1888" s="716" t="s">
        <v>1174</v>
      </c>
      <c r="D1888" s="716"/>
    </row>
    <row r="1889" spans="1:4">
      <c r="A1889" s="715" t="str">
        <f>IF(ster!$A$1=1,names!B1889,IF(ster!$A$1=2,names!C1889))</f>
        <v>Pozostałe</v>
      </c>
      <c r="B1889" s="716" t="s">
        <v>47</v>
      </c>
      <c r="C1889" s="716" t="s">
        <v>935</v>
      </c>
      <c r="D1889" s="716"/>
    </row>
    <row r="1890" spans="1:4" ht="32.25">
      <c r="A1890" s="715" t="str">
        <f>IF(ster!$A$1=1,names!B1890,IF(ster!$A$1=2,names!C1890))</f>
        <v>Środki pieniężne netto z/(wykorzystane w) działalności inwestycyjnej</v>
      </c>
      <c r="B1890" s="716" t="s">
        <v>294</v>
      </c>
      <c r="C1890" s="716" t="s">
        <v>1175</v>
      </c>
      <c r="D1890" s="716"/>
    </row>
    <row r="1891" spans="1:4">
      <c r="A1891" s="715" t="str">
        <f>IF(ster!$A$1=1,names!B1891,IF(ster!$A$1=2,names!C1891))</f>
        <v>Przepływy pieniężne z działalności finansowej</v>
      </c>
      <c r="B1891" s="716" t="s">
        <v>48</v>
      </c>
      <c r="C1891" s="716" t="s">
        <v>1176</v>
      </c>
      <c r="D1891" s="716"/>
    </row>
    <row r="1892" spans="1:4">
      <c r="A1892" s="715" t="str">
        <f>IF(ster!$A$1=1,names!B1892,IF(ster!$A$1=2,names!C1892))</f>
        <v>Wpływy z otrzymanych kredytów i pożyczek</v>
      </c>
      <c r="B1892" s="716" t="s">
        <v>1</v>
      </c>
      <c r="C1892" s="716" t="s">
        <v>1177</v>
      </c>
      <c r="D1892" s="716"/>
    </row>
    <row r="1893" spans="1:4">
      <c r="A1893" s="715" t="str">
        <f>IF(ster!$A$1=1,names!B1893,IF(ster!$A$1=2,names!C1893))</f>
        <v>Emisja obligacji</v>
      </c>
      <c r="B1893" s="716" t="s">
        <v>273</v>
      </c>
      <c r="C1893" s="716" t="s">
        <v>1441</v>
      </c>
      <c r="D1893" s="716"/>
    </row>
    <row r="1894" spans="1:4">
      <c r="A1894" s="715" t="str">
        <f>IF(ster!$A$1=1,names!B1894,IF(ster!$A$1=2,names!C1894))</f>
        <v>Spłaty kredytów i pożyczek</v>
      </c>
      <c r="B1894" s="716" t="s">
        <v>2</v>
      </c>
      <c r="C1894" s="716" t="s">
        <v>1178</v>
      </c>
      <c r="D1894" s="716"/>
    </row>
    <row r="1895" spans="1:4">
      <c r="A1895" s="715" t="str">
        <f>IF(ster!$A$1=1,names!B1895,IF(ster!$A$1=2,names!C1895))</f>
        <v>Wykup obligacji</v>
      </c>
      <c r="B1895" s="716" t="s">
        <v>318</v>
      </c>
      <c r="C1895" s="716" t="s">
        <v>1179</v>
      </c>
      <c r="D1895" s="716"/>
    </row>
    <row r="1896" spans="1:4">
      <c r="A1896" s="715" t="str">
        <f>IF(ster!$A$1=1,names!B1896,IF(ster!$A$1=2,names!C1896))</f>
        <v>Odsetki zapłacone od kredytów, pożyczek i obligacji</v>
      </c>
      <c r="B1896" s="716" t="s">
        <v>511</v>
      </c>
      <c r="C1896" s="716" t="s">
        <v>1180</v>
      </c>
      <c r="D1896" s="716"/>
    </row>
    <row r="1897" spans="1:4">
      <c r="A1897" s="715" t="str">
        <f>IF(ster!$A$1=1,names!B1897,IF(ster!$A$1=2,names!C1897))</f>
        <v>Odsetki zapłacone z tytułu leasingu</v>
      </c>
      <c r="B1897" s="716" t="s">
        <v>380</v>
      </c>
      <c r="C1897" s="716" t="s">
        <v>1181</v>
      </c>
      <c r="D1897" s="716"/>
    </row>
    <row r="1898" spans="1:4">
      <c r="A1898" s="715" t="str">
        <f>IF(ster!$A$1=1,names!B1898,IF(ster!$A$1=2,names!C1898))</f>
        <v>Dywidendy wypłacone</v>
      </c>
      <c r="B1898" s="716" t="s">
        <v>127</v>
      </c>
      <c r="C1898" s="716" t="s">
        <v>1182</v>
      </c>
      <c r="D1898" s="716"/>
    </row>
    <row r="1899" spans="1:4">
      <c r="A1899" s="715" t="str">
        <f>IF(ster!$A$1=1,names!B1899,IF(ster!$A$1=2,names!C1899))</f>
        <v>Płatności zobowiązań z tytułu umów leasingu</v>
      </c>
      <c r="B1899" s="716" t="s">
        <v>378</v>
      </c>
      <c r="C1899" s="716" t="s">
        <v>1183</v>
      </c>
      <c r="D1899" s="716"/>
    </row>
    <row r="1900" spans="1:4">
      <c r="A1900" s="715" t="str">
        <f>IF(ster!$A$1=1,names!B1900,IF(ster!$A$1=2,names!C1900))</f>
        <v>Otrzymane dotacje</v>
      </c>
      <c r="B1900" s="716" t="s">
        <v>159</v>
      </c>
      <c r="C1900" s="716" t="s">
        <v>1184</v>
      </c>
      <c r="D1900" s="716"/>
    </row>
    <row r="1901" spans="1:4">
      <c r="A1901" s="715" t="str">
        <f>IF(ster!$A$1=1,names!B1901,IF(ster!$A$1=2,names!C1901))</f>
        <v>Pozostałe</v>
      </c>
      <c r="B1901" s="716" t="s">
        <v>47</v>
      </c>
      <c r="C1901" s="716" t="s">
        <v>935</v>
      </c>
      <c r="D1901" s="716"/>
    </row>
    <row r="1902" spans="1:4" ht="32.25">
      <c r="A1902" s="715" t="str">
        <f>IF(ster!$A$1=1,names!B1902,IF(ster!$A$1=2,names!C1902))</f>
        <v>Środki pieniężne netto z/(wykorzystane w) działalności finansowej</v>
      </c>
      <c r="B1902" s="716" t="s">
        <v>145</v>
      </c>
      <c r="C1902" s="716" t="s">
        <v>1185</v>
      </c>
      <c r="D1902" s="716"/>
    </row>
    <row r="1903" spans="1:4">
      <c r="A1903" s="715">
        <f>IF(ster!$A$1=1,names!B1903,IF(ster!$A$1=2,names!C1903))</f>
        <v>0</v>
      </c>
      <c r="B1903" s="716"/>
      <c r="C1903" s="716"/>
      <c r="D1903" s="716"/>
    </row>
    <row r="1904" spans="1:4">
      <c r="A1904" s="715" t="str">
        <f>IF(ster!$A$1=1,names!B1904,IF(ster!$A$1=2,names!C1904))</f>
        <v>Zwiększenie/(Zmniejszenie) netto stanu środków pieniężnych</v>
      </c>
      <c r="B1904" s="716" t="s">
        <v>612</v>
      </c>
      <c r="C1904" s="716" t="s">
        <v>1186</v>
      </c>
      <c r="D1904" s="716"/>
    </row>
    <row r="1905" spans="1:5" ht="32.25">
      <c r="A1905" s="715" t="str">
        <f>IF(ster!$A$1=1,names!B1905,IF(ster!$A$1=2,names!C1905))</f>
        <v>Zmiana stanu środków pieniężnych i ich ekwiwalentów z tytułu różnic kursowych</v>
      </c>
      <c r="B1905" s="716" t="s">
        <v>5</v>
      </c>
      <c r="C1905" s="716" t="s">
        <v>1187</v>
      </c>
      <c r="D1905" s="716"/>
    </row>
    <row r="1906" spans="1:5">
      <c r="A1906" s="715" t="str">
        <f>IF(ster!$A$1=1,names!B1906,IF(ster!$A$1=2,names!C1906))</f>
        <v>Środki pieniężne na początek okresu</v>
      </c>
      <c r="B1906" s="716" t="s">
        <v>712</v>
      </c>
      <c r="C1906" s="716" t="s">
        <v>1188</v>
      </c>
      <c r="D1906" s="716"/>
    </row>
    <row r="1907" spans="1:5">
      <c r="A1907" s="715">
        <f>IF(ster!$A$1=1,names!B1907,IF(ster!$A$1=2,names!C1907))</f>
        <v>0</v>
      </c>
      <c r="B1907" s="716"/>
      <c r="C1907" s="716"/>
      <c r="D1907" s="716"/>
    </row>
    <row r="1908" spans="1:5">
      <c r="A1908" s="715" t="str">
        <f>IF(ster!$A$1=1,names!B1908,IF(ster!$A$1=2,names!C1908))</f>
        <v>Środki pieniężne na koniec okresu</v>
      </c>
      <c r="B1908" s="716" t="s">
        <v>613</v>
      </c>
      <c r="C1908" s="716" t="s">
        <v>1189</v>
      </c>
      <c r="D1908" s="716"/>
    </row>
    <row r="1909" spans="1:5">
      <c r="A1909" s="715" t="str">
        <f>IF(ster!$A$1=1,names!B1909,IF(ster!$A$1=2,names!C1909))</f>
        <v>w tym środki pieniężne o ograniczonej możliwości dysponowania</v>
      </c>
      <c r="B1909" s="716" t="s">
        <v>377</v>
      </c>
      <c r="C1909" s="716" t="s">
        <v>1190</v>
      </c>
      <c r="D1909" s="716"/>
    </row>
    <row r="1910" spans="1:5">
      <c r="A1910" s="715">
        <f>IF(ster!$A$1=1,names!B1910,IF(ster!$A$1=2,names!C1910))</f>
        <v>0</v>
      </c>
      <c r="B1910" s="716"/>
      <c r="C1910" s="716"/>
      <c r="D1910" s="716"/>
    </row>
    <row r="1911" spans="1:5">
      <c r="A1911" s="715" t="str">
        <f>IF(ster!$A$1=1,names!B1911,IF(ster!$A$1=2,names!C1911))</f>
        <v>Produkcja wolumenowa</v>
      </c>
      <c r="B1911" s="717" t="s">
        <v>268</v>
      </c>
      <c r="C1911" s="716" t="s">
        <v>1191</v>
      </c>
      <c r="D1911" s="716"/>
      <c r="E1911" s="709" t="s">
        <v>1510</v>
      </c>
    </row>
    <row r="1912" spans="1:5">
      <c r="A1912" s="715">
        <f>IF(ster!$A$1=1,names!B1912,IF(ster!$A$1=2,names!C1912))</f>
        <v>0</v>
      </c>
      <c r="B1912" s="716"/>
      <c r="C1912" s="716"/>
      <c r="D1912" s="716"/>
    </row>
    <row r="1913" spans="1:5" ht="32.25">
      <c r="A1913" s="715" t="str">
        <f>IF(ster!$A$1=1,names!B1913,IF(ster!$A$1=2,names!C1913))</f>
        <v>Produkcja
tys. ton</v>
      </c>
      <c r="B1913" s="716" t="s">
        <v>240</v>
      </c>
      <c r="C1913" s="716" t="s">
        <v>1192</v>
      </c>
      <c r="D1913" s="716"/>
    </row>
    <row r="1914" spans="1:5">
      <c r="A1914" s="715">
        <f>IF(ster!$A$1=1,names!B1914,IF(ster!$A$1=2,names!C1914))</f>
        <v>0</v>
      </c>
      <c r="B1914" s="716"/>
      <c r="C1914" s="716"/>
      <c r="D1914" s="716"/>
    </row>
    <row r="1915" spans="1:5" ht="32.25">
      <c r="A1915" s="715" t="str">
        <f>IF(ster!$A$1=1,names!B1915,IF(ster!$A$1=2,names!C1915))</f>
        <v>Segment 
Downstream</v>
      </c>
      <c r="B1915" s="716" t="s">
        <v>242</v>
      </c>
      <c r="C1915" s="716" t="s">
        <v>1511</v>
      </c>
      <c r="D1915" s="716"/>
    </row>
    <row r="1916" spans="1:5">
      <c r="A1916" s="715">
        <f>IF(ster!$A$1=1,names!B1916,IF(ster!$A$1=2,names!C1916))</f>
        <v>0</v>
      </c>
      <c r="B1916" s="716"/>
      <c r="C1916" s="716"/>
      <c r="D1916" s="716"/>
    </row>
    <row r="1917" spans="1:5">
      <c r="A1917" s="715" t="str">
        <f>IF(ster!$A$1=1,names!B1917,IF(ster!$A$1=2,names!C1917))</f>
        <v>Przerób ropy</v>
      </c>
      <c r="B1917" s="716" t="s">
        <v>248</v>
      </c>
      <c r="C1917" s="716" t="s">
        <v>1193</v>
      </c>
      <c r="D1917" s="716"/>
    </row>
    <row r="1918" spans="1:5" ht="32.25">
      <c r="A1918" s="715" t="str">
        <f>IF(ster!$A$1=1,names!B1918,IF(ster!$A$1=2,names!C1918))</f>
        <v>Lekkie destylaty
[benzyna, LPG]</v>
      </c>
      <c r="B1918" s="716" t="s">
        <v>172</v>
      </c>
      <c r="C1918" s="716" t="s">
        <v>1512</v>
      </c>
      <c r="D1918" s="716"/>
    </row>
    <row r="1919" spans="1:5" ht="32.25">
      <c r="A1919" s="715" t="str">
        <f>IF(ster!$A$1=1,names!B1919,IF(ster!$A$1=2,names!C1919))</f>
        <v>Średnie destylaty
[olej napędowy, lekki olej opałowy, paliwo lotnicze]</v>
      </c>
      <c r="B1919" s="716" t="s">
        <v>173</v>
      </c>
      <c r="C1919" s="716" t="s">
        <v>1513</v>
      </c>
      <c r="D1919" s="716"/>
    </row>
    <row r="1920" spans="1:5" ht="32.25">
      <c r="A1920" s="715" t="str">
        <f>IF(ster!$A$1=1,names!B1920,IF(ster!$A$1=2,names!C1920))</f>
        <v>Frakcje ciężkie 
[ciężki olej opałowy, asfalt, oleje]</v>
      </c>
      <c r="B1920" s="716" t="s">
        <v>174</v>
      </c>
      <c r="C1920" s="716" t="s">
        <v>1514</v>
      </c>
      <c r="D1920" s="716"/>
    </row>
    <row r="1921" spans="1:4" ht="32.25">
      <c r="A1921" s="715" t="str">
        <f>IF(ster!$A$1=1,names!B1921,IF(ster!$A$1=2,names!C1921))</f>
        <v xml:space="preserve">Monomery
[etylen, propylen] </v>
      </c>
      <c r="B1921" s="716" t="s">
        <v>1508</v>
      </c>
      <c r="C1921" s="716" t="s">
        <v>1515</v>
      </c>
      <c r="D1921" s="716"/>
    </row>
    <row r="1922" spans="1:4" ht="32.25">
      <c r="A1922" s="715" t="str">
        <f>IF(ster!$A$1=1,names!B1922,IF(ster!$A$1=2,names!C1922))</f>
        <v>Polimery
[polietylen, polipropylen]</v>
      </c>
      <c r="B1922" s="716" t="s">
        <v>176</v>
      </c>
      <c r="C1922" s="716" t="s">
        <v>1516</v>
      </c>
      <c r="D1922" s="716"/>
    </row>
    <row r="1923" spans="1:4" ht="32.25">
      <c r="A1923" s="715" t="str">
        <f>IF(ster!$A$1=1,names!B1923,IF(ster!$A$1=2,names!C1923))</f>
        <v>Aromaty
[benzen, toluen, paraksylen, ortoksylen]</v>
      </c>
      <c r="B1923" s="716" t="s">
        <v>177</v>
      </c>
      <c r="C1923" s="716" t="s">
        <v>1517</v>
      </c>
      <c r="D1923" s="716"/>
    </row>
    <row r="1924" spans="1:4" ht="32.25">
      <c r="A1924" s="715" t="str">
        <f>IF(ster!$A$1=1,names!B1924,IF(ster!$A$1=2,names!C1924))</f>
        <v>Nawozy sztuczne
[CANWIL, siarczan amonu, saletra amonowa, pozostałe nawozy]</v>
      </c>
      <c r="B1924" s="716" t="s">
        <v>178</v>
      </c>
      <c r="C1924" s="716" t="s">
        <v>1518</v>
      </c>
      <c r="D1924" s="716"/>
    </row>
    <row r="1925" spans="1:4" ht="32.25">
      <c r="A1925" s="715" t="str">
        <f>IF(ster!$A$1=1,names!B1925,IF(ster!$A$1=2,names!C1925))</f>
        <v>Tworzywa sztuczne
[PCW, przetwórstwo PCW]</v>
      </c>
      <c r="B1925" s="716" t="s">
        <v>1509</v>
      </c>
      <c r="C1925" s="716" t="s">
        <v>1519</v>
      </c>
      <c r="D1925" s="716"/>
    </row>
    <row r="1926" spans="1:4">
      <c r="A1926" s="715" t="str">
        <f>IF(ster!$A$1=1,names!B1926,IF(ster!$A$1=2,names!C1926))</f>
        <v>PTA</v>
      </c>
      <c r="B1926" s="716" t="s">
        <v>89</v>
      </c>
      <c r="C1926" s="716" t="s">
        <v>89</v>
      </c>
      <c r="D1926" s="716"/>
    </row>
    <row r="1927" spans="1:4">
      <c r="A1927" s="715" t="str">
        <f>IF(ster!$A$1=1,names!B1927,IF(ster!$A$1=2,names!C1927))</f>
        <v>Pozostałe</v>
      </c>
      <c r="B1927" s="716" t="s">
        <v>47</v>
      </c>
      <c r="C1927" s="716" t="s">
        <v>935</v>
      </c>
      <c r="D1927" s="716"/>
    </row>
    <row r="1928" spans="1:4">
      <c r="A1928" s="715" t="str">
        <f>IF(ster!$A$1=1,names!B1928,IF(ster!$A$1=2,names!C1928))</f>
        <v>Produkcja razem</v>
      </c>
      <c r="B1928" s="716" t="s">
        <v>250</v>
      </c>
      <c r="C1928" s="716" t="s">
        <v>1225</v>
      </c>
      <c r="D1928" s="716"/>
    </row>
    <row r="1929" spans="1:4" ht="63.75">
      <c r="A1929" s="715" t="str">
        <f>IF(ster!$A$1=1,names!B1929,IF(ster!$A$1=2,names!C1929))</f>
        <v>*) Dane przekształcone – zmiana metody konsolidacji spółek Basell ORLEN Polyolefines Sp. z o.o. i Płocki Park Przemysłowo-Technologiczny S.A. zgodnie z MSSF 11.</v>
      </c>
      <c r="B1929" s="716" t="s">
        <v>197</v>
      </c>
      <c r="C1929" s="716" t="s">
        <v>1027</v>
      </c>
      <c r="D1929" s="716"/>
    </row>
    <row r="1930" spans="1:4">
      <c r="A1930" s="715" t="str">
        <f>IF(ster!$A$1=1,names!B1930,IF(ster!$A$1=2,names!C1930))</f>
        <v>Rok 2013 *</v>
      </c>
      <c r="B1930" s="716" t="s">
        <v>254</v>
      </c>
      <c r="C1930" s="716" t="s">
        <v>1526</v>
      </c>
      <c r="D1930" s="716"/>
    </row>
    <row r="1931" spans="1:4">
      <c r="A1931" s="715" t="str">
        <f>IF(ster!$A$1=1,names!B1931,IF(ster!$A$1=2,names!C1931))</f>
        <v>Rok 2014</v>
      </c>
      <c r="B1931" s="716" t="s">
        <v>241</v>
      </c>
      <c r="C1931" s="716" t="s">
        <v>1520</v>
      </c>
      <c r="D1931" s="716"/>
    </row>
    <row r="1932" spans="1:4">
      <c r="A1932" s="715" t="str">
        <f>IF(ster!$A$1=1,names!B1932,IF(ster!$A$1=2,names!C1932))</f>
        <v>Rok 2015</v>
      </c>
      <c r="B1932" s="716" t="s">
        <v>286</v>
      </c>
      <c r="C1932" s="716" t="s">
        <v>1525</v>
      </c>
      <c r="D1932" s="716"/>
    </row>
    <row r="1933" spans="1:4">
      <c r="A1933" s="715" t="str">
        <f>IF(ster!$A$1=1,names!B1933,IF(ster!$A$1=2,names!C1933))</f>
        <v>Rok 2016</v>
      </c>
      <c r="B1933" s="716" t="s">
        <v>300</v>
      </c>
      <c r="C1933" s="716" t="s">
        <v>1521</v>
      </c>
      <c r="D1933" s="716"/>
    </row>
    <row r="1934" spans="1:4">
      <c r="A1934" s="715" t="str">
        <f>IF(ster!$A$1=1,names!B1934,IF(ster!$A$1=2,names!C1934))</f>
        <v>Rok 2017</v>
      </c>
      <c r="B1934" s="716" t="s">
        <v>310</v>
      </c>
      <c r="C1934" s="716" t="s">
        <v>1522</v>
      </c>
      <c r="D1934" s="716"/>
    </row>
    <row r="1935" spans="1:4">
      <c r="A1935" s="715" t="str">
        <f>IF(ster!$A$1=1,names!B1935,IF(ster!$A$1=2,names!C1935))</f>
        <v>Rok 2018</v>
      </c>
      <c r="B1935" s="716" t="s">
        <v>352</v>
      </c>
      <c r="C1935" s="716" t="s">
        <v>1523</v>
      </c>
      <c r="D1935" s="716"/>
    </row>
    <row r="1936" spans="1:4">
      <c r="A1936" s="715" t="str">
        <f>IF(ster!$A$1=1,names!B1936,IF(ster!$A$1=2,names!C1936))</f>
        <v>Rok 2019</v>
      </c>
      <c r="B1936" s="716" t="s">
        <v>396</v>
      </c>
      <c r="C1936" s="716" t="s">
        <v>1524</v>
      </c>
      <c r="D1936" s="716"/>
    </row>
    <row r="1937" spans="1:5">
      <c r="A1937" s="715">
        <f>IF(ster!$A$1=1,names!B1937,IF(ster!$A$1=2,names!C1937))</f>
        <v>0</v>
      </c>
      <c r="B1937" s="716"/>
      <c r="C1937" s="716"/>
      <c r="D1937" s="716"/>
    </row>
    <row r="1938" spans="1:5">
      <c r="A1938" s="715" t="str">
        <f>IF(ster!$A$1=1,names!B1938,IF(ster!$A$1=2,names!C1938))</f>
        <v>Sprzedaż wolumenowa</v>
      </c>
      <c r="B1938" s="717" t="s">
        <v>269</v>
      </c>
      <c r="C1938" s="716" t="s">
        <v>1236</v>
      </c>
      <c r="D1938" s="716"/>
      <c r="E1938" s="709" t="s">
        <v>1510</v>
      </c>
    </row>
    <row r="1939" spans="1:5">
      <c r="A1939" s="715">
        <f>IF(ster!$A$1=1,names!B1939,IF(ster!$A$1=2,names!C1939))</f>
        <v>0</v>
      </c>
      <c r="B1939" s="716"/>
      <c r="C1939" s="716"/>
      <c r="D1939" s="716"/>
    </row>
    <row r="1940" spans="1:5" ht="32.25">
      <c r="A1940" s="715" t="str">
        <f>IF(ster!$A$1=1,names!B1940,IF(ster!$A$1=2,names!C1940))</f>
        <v>Sprzedaż
tys. ton</v>
      </c>
      <c r="B1940" s="716" t="s">
        <v>18</v>
      </c>
      <c r="C1940" s="716" t="s">
        <v>1237</v>
      </c>
      <c r="D1940" s="716"/>
    </row>
    <row r="1941" spans="1:5">
      <c r="A1941" s="715">
        <f>IF(ster!$A$1=1,names!B1941,IF(ster!$A$1=2,names!C1941))</f>
        <v>0</v>
      </c>
      <c r="B1941" s="716"/>
      <c r="C1941" s="716"/>
      <c r="D1941" s="716"/>
    </row>
    <row r="1942" spans="1:5">
      <c r="A1942" s="715">
        <f>IF(ster!$A$1=1,names!B1942,IF(ster!$A$1=2,names!C1942))</f>
        <v>0</v>
      </c>
      <c r="B1942" s="716"/>
      <c r="C1942" s="716"/>
      <c r="D1942" s="716"/>
    </row>
    <row r="1943" spans="1:5">
      <c r="A1943" s="715" t="str">
        <f>IF(ster!$A$1=1,names!B1943,IF(ster!$A$1=2,names!C1943))</f>
        <v>Segment Downstream</v>
      </c>
      <c r="B1943" s="716" t="s">
        <v>147</v>
      </c>
      <c r="C1943" s="716" t="s">
        <v>1358</v>
      </c>
      <c r="D1943" s="716"/>
    </row>
    <row r="1944" spans="1:5" ht="32.25">
      <c r="A1944" s="715" t="str">
        <f>IF(ster!$A$1=1,names!B1944,IF(ster!$A$1=2,names!C1944))</f>
        <v>Lekkie destylaty
[benzyna, LPG]</v>
      </c>
      <c r="B1944" s="716" t="s">
        <v>172</v>
      </c>
      <c r="C1944" s="716" t="s">
        <v>1512</v>
      </c>
      <c r="D1944" s="716"/>
    </row>
    <row r="1945" spans="1:5" ht="32.25">
      <c r="A1945" s="715" t="str">
        <f>IF(ster!$A$1=1,names!B1945,IF(ster!$A$1=2,names!C1945))</f>
        <v>Średnie destylaty
[olej napędowy, lekki olej opałowy, paliwo lotnicze]</v>
      </c>
      <c r="B1945" s="716" t="s">
        <v>173</v>
      </c>
      <c r="C1945" s="716" t="s">
        <v>1513</v>
      </c>
      <c r="D1945" s="716"/>
    </row>
    <row r="1946" spans="1:5" ht="32.25">
      <c r="A1946" s="715" t="str">
        <f>IF(ster!$A$1=1,names!B1946,IF(ster!$A$1=2,names!C1946))</f>
        <v>Frakcje ciężkie 
[ciężki olej opałowy, asfalt, oleje]</v>
      </c>
      <c r="B1946" s="716" t="s">
        <v>174</v>
      </c>
      <c r="C1946" s="716" t="s">
        <v>1514</v>
      </c>
      <c r="D1946" s="716"/>
    </row>
    <row r="1947" spans="1:5" ht="32.25">
      <c r="A1947" s="715" t="str">
        <f>IF(ster!$A$1=1,names!B1947,IF(ster!$A$1=2,names!C1947))</f>
        <v>Monomery
[etylen, propylen]</v>
      </c>
      <c r="B1947" s="716" t="s">
        <v>175</v>
      </c>
      <c r="C1947" s="716" t="s">
        <v>1515</v>
      </c>
      <c r="D1947" s="716"/>
    </row>
    <row r="1948" spans="1:5" ht="32.25">
      <c r="A1948" s="715" t="str">
        <f>IF(ster!$A$1=1,names!B1948,IF(ster!$A$1=2,names!C1948))</f>
        <v>Polimery
[polietylen, polipropylen]</v>
      </c>
      <c r="B1948" s="716" t="s">
        <v>176</v>
      </c>
      <c r="C1948" s="716" t="s">
        <v>1516</v>
      </c>
      <c r="D1948" s="716"/>
    </row>
    <row r="1949" spans="1:5" ht="32.25">
      <c r="A1949" s="715" t="str">
        <f>IF(ster!$A$1=1,names!B1949,IF(ster!$A$1=2,names!C1949))</f>
        <v>Aromaty
[benzen, toluen, paraksylen, ortoksylen]</v>
      </c>
      <c r="B1949" s="716" t="s">
        <v>177</v>
      </c>
      <c r="C1949" s="716" t="s">
        <v>1517</v>
      </c>
      <c r="D1949" s="716"/>
    </row>
    <row r="1950" spans="1:5" ht="32.25">
      <c r="A1950" s="715" t="str">
        <f>IF(ster!$A$1=1,names!B1950,IF(ster!$A$1=2,names!C1950))</f>
        <v>Nawozy sztuczne
[CANWIL, siarczan amonu, saletra amonowa, pozostałe nawozy]</v>
      </c>
      <c r="B1950" s="716" t="s">
        <v>178</v>
      </c>
      <c r="C1950" s="716" t="s">
        <v>1518</v>
      </c>
      <c r="D1950" s="716"/>
    </row>
    <row r="1951" spans="1:5" ht="32.25">
      <c r="A1951" s="715" t="str">
        <f>IF(ster!$A$1=1,names!B1951,IF(ster!$A$1=2,names!C1951))</f>
        <v>Tworzywa sztuczne
[PCW, granulat PCW]</v>
      </c>
      <c r="B1951" s="716" t="s">
        <v>179</v>
      </c>
      <c r="C1951" s="716" t="s">
        <v>1527</v>
      </c>
      <c r="D1951" s="716"/>
    </row>
    <row r="1952" spans="1:5">
      <c r="A1952" s="715" t="str">
        <f>IF(ster!$A$1=1,names!B1952,IF(ster!$A$1=2,names!C1952))</f>
        <v>PTA</v>
      </c>
      <c r="B1952" s="716" t="s">
        <v>89</v>
      </c>
      <c r="C1952" s="716" t="s">
        <v>89</v>
      </c>
      <c r="D1952" s="716"/>
    </row>
    <row r="1953" spans="1:5">
      <c r="A1953" s="715" t="str">
        <f>IF(ster!$A$1=1,names!B1953,IF(ster!$A$1=2,names!C1953))</f>
        <v>Pozostałe</v>
      </c>
      <c r="B1953" s="716" t="s">
        <v>47</v>
      </c>
      <c r="C1953" s="716" t="s">
        <v>935</v>
      </c>
      <c r="D1953" s="716"/>
    </row>
    <row r="1954" spans="1:5">
      <c r="A1954" s="715">
        <f>IF(ster!$A$1=1,names!B1954,IF(ster!$A$1=2,names!C1954))</f>
        <v>0</v>
      </c>
      <c r="B1954" s="716"/>
      <c r="C1954" s="716"/>
      <c r="D1954" s="716"/>
    </row>
    <row r="1955" spans="1:5">
      <c r="A1955" s="715" t="str">
        <f>IF(ster!$A$1=1,names!B1955,IF(ster!$A$1=2,names!C1955))</f>
        <v>Segment Detal</v>
      </c>
      <c r="B1955" s="716" t="s">
        <v>8</v>
      </c>
      <c r="C1955" s="716" t="s">
        <v>1238</v>
      </c>
      <c r="D1955" s="716"/>
    </row>
    <row r="1956" spans="1:5" ht="32.25">
      <c r="A1956" s="715" t="str">
        <f>IF(ster!$A$1=1,names!B1956,IF(ster!$A$1=2,names!C1956))</f>
        <v>Lekkie destylaty
[benzyna, LPG]</v>
      </c>
      <c r="B1956" s="716" t="s">
        <v>172</v>
      </c>
      <c r="C1956" s="716" t="s">
        <v>1512</v>
      </c>
      <c r="D1956" s="716"/>
    </row>
    <row r="1957" spans="1:5" ht="32.25">
      <c r="A1957" s="715" t="str">
        <f>IF(ster!$A$1=1,names!B1957,IF(ster!$A$1=2,names!C1957))</f>
        <v>Średnie destylaty
[olej napędowy, lekki olej opałowy]</v>
      </c>
      <c r="B1957" s="716" t="s">
        <v>180</v>
      </c>
      <c r="C1957" s="716" t="s">
        <v>1528</v>
      </c>
      <c r="D1957" s="716"/>
    </row>
    <row r="1958" spans="1:5">
      <c r="A1958" s="715">
        <f>IF(ster!$A$1=1,names!B1958,IF(ster!$A$1=2,names!C1958))</f>
        <v>0</v>
      </c>
      <c r="B1958" s="716"/>
      <c r="C1958" s="716"/>
      <c r="D1958" s="716"/>
    </row>
    <row r="1959" spans="1:5">
      <c r="A1959" s="715" t="str">
        <f>IF(ster!$A$1=1,names!B1959,IF(ster!$A$1=2,names!C1959))</f>
        <v>Segment Wydobycie</v>
      </c>
      <c r="B1959" s="716" t="s">
        <v>123</v>
      </c>
      <c r="C1959" s="716" t="s">
        <v>1058</v>
      </c>
      <c r="D1959" s="716"/>
    </row>
    <row r="1960" spans="1:5">
      <c r="A1960" s="715">
        <f>IF(ster!$A$1=1,names!B1960,IF(ster!$A$1=2,names!C1960))</f>
        <v>0</v>
      </c>
      <c r="B1960" s="716"/>
      <c r="C1960" s="716"/>
      <c r="D1960" s="716"/>
    </row>
    <row r="1961" spans="1:5">
      <c r="A1961" s="715" t="str">
        <f>IF(ster!$A$1=1,names!B1961,IF(ster!$A$1=2,names!C1961))</f>
        <v>GK ORLEN - razem</v>
      </c>
      <c r="B1961" s="716" t="s">
        <v>120</v>
      </c>
      <c r="C1961" s="716" t="s">
        <v>1242</v>
      </c>
      <c r="D1961" s="716"/>
    </row>
    <row r="1962" spans="1:5" ht="63.75">
      <c r="A1962" s="715" t="str">
        <f>IF(ster!$A$1=1,names!B1962,IF(ster!$A$1=2,names!C1962))</f>
        <v>*) Dane przekształcone – zmiana metody konsolidacji spółek Basell ORLEN Polyolefines Sp. z o.o. i Płocki Park Przemysłowo-Technologiczny S.A. zgodnie z MSSF 11.</v>
      </c>
      <c r="B1962" s="716" t="s">
        <v>197</v>
      </c>
      <c r="C1962" s="716" t="s">
        <v>1027</v>
      </c>
      <c r="D1962" s="716"/>
    </row>
    <row r="1963" spans="1:5">
      <c r="A1963" s="715">
        <f>IF(ster!$A$1=1,names!B1963,IF(ster!$A$1=2,names!C1963))</f>
        <v>0</v>
      </c>
      <c r="B1963" s="716"/>
      <c r="C1963" s="716"/>
      <c r="D1963" s="716"/>
    </row>
    <row r="1964" spans="1:5" ht="32.25">
      <c r="A1964" s="715" t="str">
        <f>IF(ster!$A$1=1,names!B1964,IF(ster!$A$1=2,names!C1964))</f>
        <v>Wybrane dane operacyjne dla segmentu Energetyka, Wydobycie oraz Gaz</v>
      </c>
      <c r="B1964" s="717" t="s">
        <v>658</v>
      </c>
      <c r="C1964" s="716" t="s">
        <v>1250</v>
      </c>
      <c r="D1964" s="716"/>
      <c r="E1964" s="709" t="s">
        <v>1529</v>
      </c>
    </row>
    <row r="1965" spans="1:5">
      <c r="A1965" s="715">
        <f>IF(ster!$A$1=1,names!B1965,IF(ster!$A$1=2,names!C1965))</f>
        <v>0</v>
      </c>
      <c r="B1965" s="716"/>
      <c r="C1965" s="716"/>
      <c r="D1965" s="716"/>
    </row>
    <row r="1966" spans="1:5">
      <c r="A1966" s="715" t="str">
        <f>IF(ster!$A$1=1,names!B1966,IF(ster!$A$1=2,names!C1966))</f>
        <v>Wyszczególnienie</v>
      </c>
      <c r="B1966" s="716" t="s">
        <v>16</v>
      </c>
      <c r="C1966" s="716" t="s">
        <v>825</v>
      </c>
      <c r="D1966" s="716"/>
    </row>
    <row r="1967" spans="1:5">
      <c r="A1967" s="715">
        <f>IF(ster!$A$1=1,names!B1967,IF(ster!$A$1=2,names!C1967))</f>
        <v>0</v>
      </c>
      <c r="B1967" s="716"/>
      <c r="C1967" s="716"/>
      <c r="D1967" s="716"/>
    </row>
    <row r="1968" spans="1:5">
      <c r="A1968" s="715" t="str">
        <f>IF(ster!$A$1=1,names!B1968,IF(ster!$A$1=2,names!C1968))</f>
        <v>Segment Energetyka</v>
      </c>
      <c r="B1968" s="716" t="s">
        <v>423</v>
      </c>
      <c r="C1968" s="716" t="s">
        <v>1286</v>
      </c>
      <c r="D1968" s="716"/>
    </row>
    <row r="1969" spans="1:4" ht="32.25">
      <c r="A1969" s="715" t="str">
        <f>IF(ster!$A$1=1,names!B1969,IF(ster!$A$1=2,names!C1969))</f>
        <v>Dystrybucja energii elektrycznej - wolumen dostarczonej energii (TWh)</v>
      </c>
      <c r="B1969" s="716" t="s">
        <v>591</v>
      </c>
      <c r="C1969" s="716" t="s">
        <v>1530</v>
      </c>
      <c r="D1969" s="716"/>
    </row>
    <row r="1970" spans="1:4">
      <c r="A1970" s="715" t="str">
        <f>IF(ster!$A$1=1,names!B1970,IF(ster!$A$1=2,names!C1970))</f>
        <v>Sprzedaż energii elektrycznej na rynku detalicznym (TWh)</v>
      </c>
      <c r="B1970" s="716" t="s">
        <v>592</v>
      </c>
      <c r="C1970" s="716" t="s">
        <v>1531</v>
      </c>
      <c r="D1970" s="716"/>
    </row>
    <row r="1971" spans="1:4">
      <c r="A1971" s="715" t="str">
        <f>IF(ster!$A$1=1,names!B1971,IF(ster!$A$1=2,names!C1971))</f>
        <v>Sprzedaż energii elektrycznej na rynku hurtowym (TWh)</v>
      </c>
      <c r="B1971" s="716" t="s">
        <v>593</v>
      </c>
      <c r="C1971" s="716" t="s">
        <v>1532</v>
      </c>
      <c r="D1971" s="716"/>
    </row>
    <row r="1972" spans="1:4">
      <c r="A1972" s="715" t="str">
        <f>IF(ster!$A$1=1,names!B1972,IF(ster!$A$1=2,names!C1972))</f>
        <v>Sprzedaż energii elektrycznej (TWh)**</v>
      </c>
      <c r="B1972" s="716" t="s">
        <v>719</v>
      </c>
      <c r="C1972" s="716" t="s">
        <v>1533</v>
      </c>
      <c r="D1972" s="716"/>
    </row>
    <row r="1973" spans="1:4">
      <c r="A1973" s="715" t="str">
        <f>IF(ster!$A$1=1,names!B1973,IF(ster!$A$1=2,names!C1973))</f>
        <v>Produkcja energii elektrycznej brutto (TWh), w tym z:</v>
      </c>
      <c r="B1973" s="716" t="s">
        <v>604</v>
      </c>
      <c r="C1973" s="716" t="s">
        <v>1534</v>
      </c>
      <c r="D1973" s="716"/>
    </row>
    <row r="1974" spans="1:4">
      <c r="A1974" s="715" t="str">
        <f>IF(ster!$A$1=1,names!B1974,IF(ster!$A$1=2,names!C1974))</f>
        <v xml:space="preserve">  OZE</v>
      </c>
      <c r="B1974" s="716" t="s">
        <v>607</v>
      </c>
      <c r="C1974" s="716" t="s">
        <v>1535</v>
      </c>
      <c r="D1974" s="716"/>
    </row>
    <row r="1975" spans="1:4">
      <c r="A1975" s="715" t="str">
        <f>IF(ster!$A$1=1,names!B1975,IF(ster!$A$1=2,names!C1975))</f>
        <v xml:space="preserve">  Gaz</v>
      </c>
      <c r="B1975" s="716" t="s">
        <v>606</v>
      </c>
      <c r="C1975" s="716" t="s">
        <v>799</v>
      </c>
      <c r="D1975" s="716"/>
    </row>
    <row r="1976" spans="1:4">
      <c r="A1976" s="715" t="str">
        <f>IF(ster!$A$1=1,names!B1976,IF(ster!$A$1=2,names!C1976))</f>
        <v xml:space="preserve">  Wielopaliwowe, głównie olej opałowy  (TWh)</v>
      </c>
      <c r="B1976" s="716" t="s">
        <v>717</v>
      </c>
      <c r="C1976" s="716" t="s">
        <v>1536</v>
      </c>
      <c r="D1976" s="716"/>
    </row>
    <row r="1977" spans="1:4">
      <c r="A1977" s="715" t="str">
        <f>IF(ster!$A$1=1,names!B1977,IF(ster!$A$1=2,names!C1977))</f>
        <v xml:space="preserve">  Węgiel (TWh)</v>
      </c>
      <c r="B1977" s="716" t="s">
        <v>721</v>
      </c>
      <c r="C1977" s="716" t="s">
        <v>1537</v>
      </c>
      <c r="D1977" s="716"/>
    </row>
    <row r="1978" spans="1:4">
      <c r="A1978" s="715" t="str">
        <f>IF(ster!$A$1=1,names!B1978,IF(ster!$A$1=2,names!C1978))</f>
        <v xml:space="preserve">  Pozostałe***</v>
      </c>
      <c r="B1978" s="716" t="s">
        <v>722</v>
      </c>
      <c r="C1978" s="716" t="s">
        <v>935</v>
      </c>
      <c r="D1978" s="716"/>
    </row>
    <row r="1979" spans="1:4">
      <c r="A1979" s="715" t="str">
        <f>IF(ster!$A$1=1,names!B1979,IF(ster!$A$1=2,names!C1979))</f>
        <v>Moc zainstalowana elektryczna (GWe) z czego stanowią:</v>
      </c>
      <c r="B1979" s="716" t="s">
        <v>603</v>
      </c>
      <c r="C1979" s="716" t="s">
        <v>1538</v>
      </c>
      <c r="D1979" s="716"/>
    </row>
    <row r="1980" spans="1:4">
      <c r="A1980" s="715" t="str">
        <f>IF(ster!$A$1=1,names!B1980,IF(ster!$A$1=2,names!C1980))</f>
        <v xml:space="preserve">  OZE</v>
      </c>
      <c r="B1980" s="716" t="s">
        <v>607</v>
      </c>
      <c r="C1980" s="716" t="s">
        <v>1535</v>
      </c>
      <c r="D1980" s="716"/>
    </row>
    <row r="1981" spans="1:4">
      <c r="A1981" s="715" t="str">
        <f>IF(ster!$A$1=1,names!B1981,IF(ster!$A$1=2,names!C1981))</f>
        <v xml:space="preserve">  Gaz</v>
      </c>
      <c r="B1981" s="716" t="s">
        <v>606</v>
      </c>
      <c r="C1981" s="716" t="s">
        <v>799</v>
      </c>
      <c r="D1981" s="716"/>
    </row>
    <row r="1982" spans="1:4">
      <c r="A1982" s="715" t="str">
        <f>IF(ster!$A$1=1,names!B1982,IF(ster!$A$1=2,names!C1982))</f>
        <v xml:space="preserve">  Olej opałowy</v>
      </c>
      <c r="B1982" s="716" t="s">
        <v>609</v>
      </c>
      <c r="C1982" s="716" t="s">
        <v>1539</v>
      </c>
      <c r="D1982" s="716"/>
    </row>
    <row r="1983" spans="1:4">
      <c r="A1983" s="715" t="str">
        <f>IF(ster!$A$1=1,names!B1983,IF(ster!$A$1=2,names!C1983))</f>
        <v xml:space="preserve">  Węgiel</v>
      </c>
      <c r="B1983" s="716" t="s">
        <v>610</v>
      </c>
      <c r="C1983" s="716" t="s">
        <v>1537</v>
      </c>
      <c r="D1983" s="716"/>
    </row>
    <row r="1984" spans="1:4">
      <c r="A1984" s="715" t="str">
        <f>IF(ster!$A$1=1,names!B1984,IF(ster!$A$1=2,names!C1984))</f>
        <v xml:space="preserve">  Pozostałe</v>
      </c>
      <c r="B1984" s="716" t="s">
        <v>608</v>
      </c>
      <c r="C1984" s="716" t="s">
        <v>935</v>
      </c>
      <c r="D1984" s="716"/>
    </row>
    <row r="1985" spans="1:4">
      <c r="A1985" s="715">
        <f>IF(ster!$A$1=1,names!B1985,IF(ster!$A$1=2,names!C1985))</f>
        <v>0</v>
      </c>
      <c r="B1985" s="716"/>
      <c r="C1985" s="716"/>
      <c r="D1985" s="716"/>
    </row>
    <row r="1986" spans="1:4">
      <c r="A1986" s="715" t="str">
        <f>IF(ster!$A$1=1,names!B1986,IF(ster!$A$1=2,names!C1986))</f>
        <v>Moc zainstalowana cieplna (GWt)</v>
      </c>
      <c r="B1986" s="716" t="s">
        <v>749</v>
      </c>
      <c r="C1986" s="716" t="s">
        <v>1299</v>
      </c>
      <c r="D1986" s="716"/>
    </row>
    <row r="1987" spans="1:4">
      <c r="A1987" s="715" t="str">
        <f>IF(ster!$A$1=1,names!B1987,IF(ster!$A$1=2,names!C1987))</f>
        <v>Produkcja ciepła użytkowego (PJ)</v>
      </c>
      <c r="B1987" s="716" t="s">
        <v>714</v>
      </c>
      <c r="C1987" s="716" t="s">
        <v>1300</v>
      </c>
      <c r="D1987" s="716"/>
    </row>
    <row r="1988" spans="1:4">
      <c r="A1988" s="715" t="str">
        <f>IF(ster!$A$1=1,names!B1988,IF(ster!$A$1=2,names!C1988))</f>
        <v>Sprzedaż ciepła poza GK ORLEN (PJ)</v>
      </c>
      <c r="B1988" s="716" t="s">
        <v>750</v>
      </c>
      <c r="C1988" s="716" t="s">
        <v>1301</v>
      </c>
      <c r="D1988" s="716"/>
    </row>
    <row r="1989" spans="1:4">
      <c r="A1989" s="715">
        <f>IF(ster!$A$1=1,names!B1989,IF(ster!$A$1=2,names!C1989))</f>
        <v>0</v>
      </c>
      <c r="B1989" s="716"/>
      <c r="C1989" s="716"/>
      <c r="D1989" s="716"/>
    </row>
    <row r="1990" spans="1:4">
      <c r="A1990" s="715">
        <f>IF(ster!$A$1=1,names!B1990,IF(ster!$A$1=2,names!C1990))</f>
        <v>0</v>
      </c>
      <c r="B1990" s="716"/>
      <c r="C1990" s="716"/>
      <c r="D1990" s="716"/>
    </row>
    <row r="1991" spans="1:4">
      <c r="A1991" s="715">
        <f>IF(ster!$A$1=1,names!B1991,IF(ster!$A$1=2,names!C1991))</f>
        <v>0</v>
      </c>
      <c r="B1991" s="716"/>
      <c r="C1991" s="716"/>
      <c r="D1991" s="716"/>
    </row>
    <row r="1992" spans="1:4">
      <c r="A1992" s="715" t="str">
        <f>IF(ster!$A$1=1,names!B1992,IF(ster!$A$1=2,names!C1992))</f>
        <v>Segment Wydobycie</v>
      </c>
      <c r="B1992" s="716" t="s">
        <v>123</v>
      </c>
      <c r="C1992" s="716" t="s">
        <v>1058</v>
      </c>
      <c r="D1992" s="716"/>
    </row>
    <row r="1993" spans="1:4">
      <c r="A1993" s="715">
        <f>IF(ster!$A$1=1,names!B1993,IF(ster!$A$1=2,names!C1993))</f>
        <v>0</v>
      </c>
      <c r="B1993" s="716"/>
      <c r="C1993" s="716"/>
      <c r="D1993" s="716"/>
    </row>
    <row r="1994" spans="1:4">
      <c r="A1994" s="715" t="str">
        <f>IF(ster!$A$1=1,names!B1994,IF(ster!$A$1=2,names!C1994))</f>
        <v>Liczba dni (w okresie)</v>
      </c>
      <c r="B1994" s="716" t="s">
        <v>590</v>
      </c>
      <c r="C1994" s="716" t="s">
        <v>1540</v>
      </c>
      <c r="D1994" s="716"/>
    </row>
    <row r="1995" spans="1:4">
      <c r="A1995" s="715" t="str">
        <f>IF(ster!$A$1=1,names!B1995,IF(ster!$A$1=2,names!C1995))</f>
        <v>Produkcja całkowita (ropa + gaz + NGL) ( boe/d)</v>
      </c>
      <c r="B1995" s="716" t="s">
        <v>572</v>
      </c>
      <c r="C1995" s="716" t="s">
        <v>1541</v>
      </c>
      <c r="D1995" s="716"/>
    </row>
    <row r="1996" spans="1:4">
      <c r="A1996" s="715" t="str">
        <f>IF(ster!$A$1=1,names!B1996,IF(ster!$A$1=2,names!C1996))</f>
        <v>Kanada</v>
      </c>
      <c r="B1996" s="716" t="s">
        <v>566</v>
      </c>
      <c r="C1996" s="716" t="s">
        <v>1253</v>
      </c>
      <c r="D1996" s="716"/>
    </row>
    <row r="1997" spans="1:4">
      <c r="A1997" s="715" t="str">
        <f>IF(ster!$A$1=1,names!B1997,IF(ster!$A$1=2,names!C1997))</f>
        <v>Polska</v>
      </c>
      <c r="B1997" s="716" t="s">
        <v>10</v>
      </c>
      <c r="C1997" s="716" t="s">
        <v>884</v>
      </c>
      <c r="D1997" s="716"/>
    </row>
    <row r="1998" spans="1:4">
      <c r="A1998" s="715" t="str">
        <f>IF(ster!$A$1=1,names!B1998,IF(ster!$A$1=2,names!C1998))</f>
        <v>Pakistan</v>
      </c>
      <c r="B1998" s="716" t="s">
        <v>656</v>
      </c>
      <c r="C1998" s="716" t="s">
        <v>656</v>
      </c>
      <c r="D1998" s="716"/>
    </row>
    <row r="1999" spans="1:4">
      <c r="A1999" s="715" t="str">
        <f>IF(ster!$A$1=1,names!B1999,IF(ster!$A$1=2,names!C1999))</f>
        <v>Norwegia</v>
      </c>
      <c r="B1999" s="716" t="s">
        <v>596</v>
      </c>
      <c r="C1999" s="716" t="s">
        <v>1252</v>
      </c>
      <c r="D1999" s="716"/>
    </row>
    <row r="2000" spans="1:4">
      <c r="A2000" s="715" t="str">
        <f>IF(ster!$A$1=1,names!B2000,IF(ster!$A$1=2,names!C2000))</f>
        <v>Litwa</v>
      </c>
      <c r="B2000" s="716" t="s">
        <v>13</v>
      </c>
      <c r="C2000" s="716" t="s">
        <v>885</v>
      </c>
      <c r="D2000" s="716"/>
    </row>
    <row r="2001" spans="1:4">
      <c r="A2001" s="715">
        <f>IF(ster!$A$1=1,names!B2001,IF(ster!$A$1=2,names!C2001))</f>
        <v>0</v>
      </c>
      <c r="B2001" s="716"/>
      <c r="C2001" s="716"/>
      <c r="D2001" s="716"/>
    </row>
    <row r="2002" spans="1:4">
      <c r="A2002" s="715" t="str">
        <f>IF(ster!$A$1=1,names!B2002,IF(ster!$A$1=2,names!C2002))</f>
        <v>Sprzedaż całkowita (ropa + gaz + NGL) (boe/d)</v>
      </c>
      <c r="B2002" s="716" t="s">
        <v>573</v>
      </c>
      <c r="C2002" s="716" t="s">
        <v>1542</v>
      </c>
      <c r="D2002" s="716"/>
    </row>
    <row r="2003" spans="1:4">
      <c r="A2003" s="715" t="str">
        <f>IF(ster!$A$1=1,names!B2003,IF(ster!$A$1=2,names!C2003))</f>
        <v>Kanada</v>
      </c>
      <c r="B2003" s="716" t="s">
        <v>566</v>
      </c>
      <c r="C2003" s="716" t="s">
        <v>1253</v>
      </c>
      <c r="D2003" s="716"/>
    </row>
    <row r="2004" spans="1:4">
      <c r="A2004" s="715" t="str">
        <f>IF(ster!$A$1=1,names!B2004,IF(ster!$A$1=2,names!C2004))</f>
        <v xml:space="preserve">Polska </v>
      </c>
      <c r="B2004" s="716" t="s">
        <v>568</v>
      </c>
      <c r="C2004" s="716" t="s">
        <v>884</v>
      </c>
      <c r="D2004" s="716"/>
    </row>
    <row r="2005" spans="1:4">
      <c r="A2005" s="715" t="str">
        <f>IF(ster!$A$1=1,names!B2005,IF(ster!$A$1=2,names!C2005))</f>
        <v>Pakistan</v>
      </c>
      <c r="B2005" s="716" t="s">
        <v>656</v>
      </c>
      <c r="C2005" s="716" t="s">
        <v>656</v>
      </c>
      <c r="D2005" s="716"/>
    </row>
    <row r="2006" spans="1:4">
      <c r="A2006" s="715" t="str">
        <f>IF(ster!$A$1=1,names!B2006,IF(ster!$A$1=2,names!C2006))</f>
        <v>Norwegia</v>
      </c>
      <c r="B2006" s="716" t="s">
        <v>596</v>
      </c>
      <c r="C2006" s="716" t="s">
        <v>1252</v>
      </c>
      <c r="D2006" s="716"/>
    </row>
    <row r="2007" spans="1:4">
      <c r="A2007" s="715" t="str">
        <f>IF(ster!$A$1=1,names!B2007,IF(ster!$A$1=2,names!C2007))</f>
        <v>Litwa</v>
      </c>
      <c r="B2007" s="716" t="s">
        <v>13</v>
      </c>
      <c r="C2007" s="716" t="s">
        <v>885</v>
      </c>
      <c r="D2007" s="716"/>
    </row>
    <row r="2008" spans="1:4">
      <c r="A2008" s="715">
        <f>IF(ster!$A$1=1,names!B2008,IF(ster!$A$1=2,names!C2008))</f>
        <v>0</v>
      </c>
      <c r="B2008" s="716"/>
      <c r="C2008" s="716"/>
      <c r="D2008" s="716"/>
    </row>
    <row r="2009" spans="1:4">
      <c r="A2009" s="715" t="str">
        <f>IF(ster!$A$1=1,names!B2009,IF(ster!$A$1=2,names!C2009))</f>
        <v>Sprzedaż ropy naftowej (bbl/d)</v>
      </c>
      <c r="B2009" s="716" t="s">
        <v>569</v>
      </c>
      <c r="C2009" s="716" t="s">
        <v>1543</v>
      </c>
      <c r="D2009" s="716"/>
    </row>
    <row r="2010" spans="1:4">
      <c r="A2010" s="715" t="str">
        <f>IF(ster!$A$1=1,names!B2010,IF(ster!$A$1=2,names!C2010))</f>
        <v>Kanada</v>
      </c>
      <c r="B2010" s="716" t="s">
        <v>566</v>
      </c>
      <c r="C2010" s="716" t="s">
        <v>1253</v>
      </c>
      <c r="D2010" s="716"/>
    </row>
    <row r="2011" spans="1:4">
      <c r="A2011" s="715" t="str">
        <f>IF(ster!$A$1=1,names!B2011,IF(ster!$A$1=2,names!C2011))</f>
        <v>Polska</v>
      </c>
      <c r="B2011" s="716" t="s">
        <v>10</v>
      </c>
      <c r="C2011" s="716" t="s">
        <v>884</v>
      </c>
      <c r="D2011" s="716"/>
    </row>
    <row r="2012" spans="1:4">
      <c r="A2012" s="715" t="str">
        <f>IF(ster!$A$1=1,names!B2012,IF(ster!$A$1=2,names!C2012))</f>
        <v>Norwegia</v>
      </c>
      <c r="B2012" s="716" t="s">
        <v>596</v>
      </c>
      <c r="C2012" s="716" t="s">
        <v>1252</v>
      </c>
      <c r="D2012" s="716"/>
    </row>
    <row r="2013" spans="1:4">
      <c r="A2013" s="715" t="str">
        <f>IF(ster!$A$1=1,names!B2013,IF(ster!$A$1=2,names!C2013))</f>
        <v>Litwa</v>
      </c>
      <c r="B2013" s="716" t="s">
        <v>13</v>
      </c>
      <c r="C2013" s="716" t="s">
        <v>885</v>
      </c>
      <c r="D2013" s="716"/>
    </row>
    <row r="2014" spans="1:4">
      <c r="A2014" s="715">
        <f>IF(ster!$A$1=1,names!B2014,IF(ster!$A$1=2,names!C2014))</f>
        <v>0</v>
      </c>
      <c r="B2014" s="716"/>
      <c r="C2014" s="716"/>
      <c r="D2014" s="716"/>
    </row>
    <row r="2015" spans="1:4">
      <c r="A2015" s="715" t="str">
        <f>IF(ster!$A$1=1,names!B2015,IF(ster!$A$1=2,names!C2015))</f>
        <v>Sprzedaż gazu ziemnego (boe/d)</v>
      </c>
      <c r="B2015" s="716" t="s">
        <v>570</v>
      </c>
      <c r="C2015" s="716" t="s">
        <v>1544</v>
      </c>
      <c r="D2015" s="716"/>
    </row>
    <row r="2016" spans="1:4">
      <c r="A2016" s="715" t="str">
        <f>IF(ster!$A$1=1,names!B2016,IF(ster!$A$1=2,names!C2016))</f>
        <v>Kanada</v>
      </c>
      <c r="B2016" s="716" t="s">
        <v>566</v>
      </c>
      <c r="C2016" s="716" t="s">
        <v>1253</v>
      </c>
      <c r="D2016" s="716"/>
    </row>
    <row r="2017" spans="1:4">
      <c r="A2017" s="715" t="str">
        <f>IF(ster!$A$1=1,names!B2017,IF(ster!$A$1=2,names!C2017))</f>
        <v>Polska</v>
      </c>
      <c r="B2017" s="716" t="s">
        <v>10</v>
      </c>
      <c r="C2017" s="716" t="s">
        <v>884</v>
      </c>
      <c r="D2017" s="716"/>
    </row>
    <row r="2018" spans="1:4">
      <c r="A2018" s="715" t="str">
        <f>IF(ster!$A$1=1,names!B2018,IF(ster!$A$1=2,names!C2018))</f>
        <v>Pakistan</v>
      </c>
      <c r="B2018" s="716" t="s">
        <v>656</v>
      </c>
      <c r="C2018" s="716" t="s">
        <v>656</v>
      </c>
      <c r="D2018" s="716"/>
    </row>
    <row r="2019" spans="1:4">
      <c r="A2019" s="715" t="str">
        <f>IF(ster!$A$1=1,names!B2019,IF(ster!$A$1=2,names!C2019))</f>
        <v>Norwegia</v>
      </c>
      <c r="B2019" s="716" t="s">
        <v>596</v>
      </c>
      <c r="C2019" s="716" t="s">
        <v>1252</v>
      </c>
      <c r="D2019" s="716"/>
    </row>
    <row r="2020" spans="1:4">
      <c r="A2020" s="715" t="str">
        <f>IF(ster!$A$1=1,names!B2020,IF(ster!$A$1=2,names!C2020))</f>
        <v>Litwa</v>
      </c>
      <c r="B2020" s="716" t="s">
        <v>13</v>
      </c>
      <c r="C2020" s="716" t="s">
        <v>885</v>
      </c>
      <c r="D2020" s="716"/>
    </row>
    <row r="2021" spans="1:4">
      <c r="A2021" s="715">
        <f>IF(ster!$A$1=1,names!B2021,IF(ster!$A$1=2,names!C2021))</f>
        <v>0</v>
      </c>
      <c r="B2021" s="716"/>
      <c r="C2021" s="716"/>
      <c r="D2021" s="716"/>
    </row>
    <row r="2022" spans="1:4">
      <c r="A2022" s="715" t="str">
        <f>IF(ster!$A$1=1,names!B2022,IF(ster!$A$1=2,names!C2022))</f>
        <v>Sprzedaż NGL (Natural Gas Liquids) (boe/d)</v>
      </c>
      <c r="B2022" s="716" t="s">
        <v>571</v>
      </c>
      <c r="C2022" s="716" t="s">
        <v>1545</v>
      </c>
      <c r="D2022" s="716"/>
    </row>
    <row r="2023" spans="1:4">
      <c r="A2023" s="715" t="str">
        <f>IF(ster!$A$1=1,names!B2023,IF(ster!$A$1=2,names!C2023))</f>
        <v>Kanada</v>
      </c>
      <c r="B2023" s="716" t="s">
        <v>566</v>
      </c>
      <c r="C2023" s="716" t="s">
        <v>1253</v>
      </c>
      <c r="D2023" s="716"/>
    </row>
    <row r="2024" spans="1:4">
      <c r="A2024" s="715" t="str">
        <f>IF(ster!$A$1=1,names!B2024,IF(ster!$A$1=2,names!C2024))</f>
        <v>Polska</v>
      </c>
      <c r="B2024" s="716" t="s">
        <v>10</v>
      </c>
      <c r="C2024" s="716" t="s">
        <v>884</v>
      </c>
      <c r="D2024" s="716"/>
    </row>
    <row r="2025" spans="1:4">
      <c r="A2025" s="715" t="str">
        <f>IF(ster!$A$1=1,names!B2025,IF(ster!$A$1=2,names!C2025))</f>
        <v>Norwegia</v>
      </c>
      <c r="B2025" s="716" t="s">
        <v>596</v>
      </c>
      <c r="C2025" s="716" t="s">
        <v>1252</v>
      </c>
      <c r="D2025" s="716"/>
    </row>
    <row r="2026" spans="1:4">
      <c r="A2026" s="715" t="str">
        <f>IF(ster!$A$1=1,names!B2026,IF(ster!$A$1=2,names!C2026))</f>
        <v>Litwa</v>
      </c>
      <c r="B2026" s="716" t="s">
        <v>13</v>
      </c>
      <c r="C2026" s="716" t="s">
        <v>885</v>
      </c>
      <c r="D2026" s="716"/>
    </row>
    <row r="2027" spans="1:4">
      <c r="A2027" s="715">
        <f>IF(ster!$A$1=1,names!B2027,IF(ster!$A$1=2,names!C2027))</f>
        <v>0</v>
      </c>
      <c r="B2027" s="716"/>
      <c r="C2027" s="716"/>
      <c r="D2027" s="716"/>
    </row>
    <row r="2028" spans="1:4">
      <c r="A2028" s="715" t="str">
        <f>IF(ster!$A$1=1,names!B2028,IF(ster!$A$1=2,names!C2028))</f>
        <v>Zasoby 2P na ostatni dzień okresu (mln boe)</v>
      </c>
      <c r="B2028" s="716" t="s">
        <v>567</v>
      </c>
      <c r="C2028" s="716" t="s">
        <v>1251</v>
      </c>
      <c r="D2028" s="716"/>
    </row>
    <row r="2029" spans="1:4">
      <c r="A2029" s="715" t="str">
        <f>IF(ster!$A$1=1,names!B2029,IF(ster!$A$1=2,names!C2029))</f>
        <v>Kanada</v>
      </c>
      <c r="B2029" s="716" t="s">
        <v>566</v>
      </c>
      <c r="C2029" s="716" t="s">
        <v>1253</v>
      </c>
      <c r="D2029" s="716"/>
    </row>
    <row r="2030" spans="1:4">
      <c r="A2030" s="715" t="str">
        <f>IF(ster!$A$1=1,names!B2030,IF(ster!$A$1=2,names!C2030))</f>
        <v>Polska</v>
      </c>
      <c r="B2030" s="716" t="s">
        <v>10</v>
      </c>
      <c r="C2030" s="716" t="s">
        <v>884</v>
      </c>
      <c r="D2030" s="716"/>
    </row>
    <row r="2031" spans="1:4">
      <c r="A2031" s="715" t="str">
        <f>IF(ster!$A$1=1,names!B2031,IF(ster!$A$1=2,names!C2031))</f>
        <v>Pakistan</v>
      </c>
      <c r="B2031" s="716" t="s">
        <v>656</v>
      </c>
      <c r="C2031" s="716" t="s">
        <v>656</v>
      </c>
      <c r="D2031" s="716"/>
    </row>
    <row r="2032" spans="1:4">
      <c r="A2032" s="715" t="str">
        <f>IF(ster!$A$1=1,names!B2032,IF(ster!$A$1=2,names!C2032))</f>
        <v>Norwegia</v>
      </c>
      <c r="B2032" s="716" t="s">
        <v>596</v>
      </c>
      <c r="C2032" s="716" t="s">
        <v>1252</v>
      </c>
      <c r="D2032" s="716"/>
    </row>
    <row r="2033" spans="1:4">
      <c r="A2033" s="715" t="str">
        <f>IF(ster!$A$1=1,names!B2033,IF(ster!$A$1=2,names!C2033))</f>
        <v>Litwa</v>
      </c>
      <c r="B2033" s="716" t="s">
        <v>13</v>
      </c>
      <c r="C2033" s="716" t="s">
        <v>885</v>
      </c>
      <c r="D2033" s="716"/>
    </row>
    <row r="2034" spans="1:4">
      <c r="A2034" s="715">
        <f>IF(ster!$A$1=1,names!B2034,IF(ster!$A$1=2,names!C2034))</f>
        <v>0</v>
      </c>
      <c r="B2034" s="716"/>
      <c r="C2034" s="716"/>
      <c r="D2034" s="716"/>
    </row>
    <row r="2035" spans="1:4">
      <c r="A2035" s="715">
        <f>IF(ster!$A$1=1,names!B2035,IF(ster!$A$1=2,names!C2035))</f>
        <v>0</v>
      </c>
      <c r="B2035" s="716"/>
      <c r="C2035" s="716"/>
      <c r="D2035" s="716"/>
    </row>
    <row r="2036" spans="1:4" ht="48">
      <c r="A2036" s="715" t="str">
        <f>IF(ster!$A$1=1,names!B2036,IF(ster!$A$1=2,names!C2036))</f>
        <v>*) Od maja 2020 roku z uwzględnieniem wolumenów Grupy ENERGA. Od sierpnia 2022 roku z uwzględnieniem wolumenów Grupy exLOTOS.</v>
      </c>
      <c r="B2036" s="716" t="s">
        <v>598</v>
      </c>
      <c r="C2036" s="716" t="s">
        <v>1858</v>
      </c>
      <c r="D2036" s="716"/>
    </row>
    <row r="2037" spans="1:4">
      <c r="A2037" s="715" t="str">
        <f>IF(ster!$A$1=1,names!B2037,IF(ster!$A$1=2,names!C2037))</f>
        <v>**) Sprzedaż do odbiorców spoza GK ORLEN</v>
      </c>
      <c r="B2037" s="716" t="s">
        <v>720</v>
      </c>
      <c r="C2037" s="716"/>
      <c r="D2037" s="716"/>
    </row>
    <row r="2038" spans="1:4">
      <c r="A2038" s="715" t="str">
        <f>IF(ster!$A$1=1,names!B2038,IF(ster!$A$1=2,names!C2038))</f>
        <v>***) Produkcja energii elektrycznej w ESP Żydowo</v>
      </c>
      <c r="B2038" s="716" t="s">
        <v>723</v>
      </c>
      <c r="C2038" s="716"/>
      <c r="D2038" s="716"/>
    </row>
    <row r="2039" spans="1:4" ht="32.25">
      <c r="A2039" s="715" t="str">
        <f>IF(ster!$A$1=1,names!B2039,IF(ster!$A$1=2,names!C2039))</f>
        <v>I kw. 
2021</v>
      </c>
      <c r="B2039" s="716" t="s">
        <v>497</v>
      </c>
      <c r="C2039" s="716" t="s">
        <v>957</v>
      </c>
      <c r="D2039" s="716"/>
    </row>
    <row r="2040" spans="1:4" ht="32.25">
      <c r="A2040" s="715" t="str">
        <f>IF(ster!$A$1=1,names!B2040,IF(ster!$A$1=2,names!C2040))</f>
        <v>II kw. 
2021</v>
      </c>
      <c r="B2040" s="716" t="s">
        <v>498</v>
      </c>
      <c r="C2040" s="716" t="s">
        <v>959</v>
      </c>
      <c r="D2040" s="716"/>
    </row>
    <row r="2041" spans="1:4" ht="32.25">
      <c r="A2041" s="715" t="str">
        <f>IF(ster!$A$1=1,names!B2041,IF(ster!$A$1=2,names!C2041))</f>
        <v>III kw. 
2021</v>
      </c>
      <c r="B2041" s="716" t="s">
        <v>499</v>
      </c>
      <c r="C2041" s="716" t="s">
        <v>961</v>
      </c>
      <c r="D2041" s="716"/>
    </row>
    <row r="2042" spans="1:4" ht="32.25">
      <c r="A2042" s="715" t="str">
        <f>IF(ster!$A$1=1,names!B2042,IF(ster!$A$1=2,names!C2042))</f>
        <v>IV kw. 
2021</v>
      </c>
      <c r="B2042" s="716" t="s">
        <v>500</v>
      </c>
      <c r="C2042" s="716" t="s">
        <v>963</v>
      </c>
      <c r="D2042" s="716"/>
    </row>
    <row r="2043" spans="1:4" ht="32.25">
      <c r="A2043" s="715" t="str">
        <f>IF(ster!$A$1=1,names!B2043,IF(ster!$A$1=2,names!C2043))</f>
        <v>12 m-cy 2021</v>
      </c>
      <c r="B2043" s="716" t="s">
        <v>501</v>
      </c>
      <c r="C2043" s="716" t="s">
        <v>857</v>
      </c>
      <c r="D2043" s="716"/>
    </row>
    <row r="2044" spans="1:4" ht="32.25">
      <c r="A2044" s="715" t="str">
        <f>IF(ster!$A$1=1,names!B2044,IF(ster!$A$1=2,names!C2044))</f>
        <v>I kw. 
2022</v>
      </c>
      <c r="B2044" s="716" t="s">
        <v>513</v>
      </c>
      <c r="C2044" s="716" t="s">
        <v>858</v>
      </c>
      <c r="D2044" s="716"/>
    </row>
    <row r="2045" spans="1:4" ht="32.25">
      <c r="A2045" s="715" t="str">
        <f>IF(ster!$A$1=1,names!B2045,IF(ster!$A$1=2,names!C2045))</f>
        <v>II kw. 
2022</v>
      </c>
      <c r="B2045" s="716" t="s">
        <v>528</v>
      </c>
      <c r="C2045" s="716" t="s">
        <v>859</v>
      </c>
      <c r="D2045" s="716"/>
    </row>
    <row r="2046" spans="1:4" ht="32.25">
      <c r="A2046" s="715" t="str">
        <f>IF(ster!$A$1=1,names!B2046,IF(ster!$A$1=2,names!C2046))</f>
        <v>III kw. 
2022*</v>
      </c>
      <c r="B2046" s="716" t="s">
        <v>597</v>
      </c>
      <c r="C2046" s="716" t="s">
        <v>1546</v>
      </c>
      <c r="D2046" s="716"/>
    </row>
    <row r="2047" spans="1:4" ht="32.25">
      <c r="A2047" s="715" t="str">
        <f>IF(ster!$A$1=1,names!B2047,IF(ster!$A$1=2,names!C2047))</f>
        <v>IV kw. 
2022</v>
      </c>
      <c r="B2047" s="716" t="s">
        <v>530</v>
      </c>
      <c r="C2047" s="716" t="s">
        <v>861</v>
      </c>
      <c r="D2047" s="716"/>
    </row>
    <row r="2048" spans="1:4" ht="32.25">
      <c r="A2048" s="715" t="str">
        <f>IF(ster!$A$1=1,names!B2048,IF(ster!$A$1=2,names!C2048))</f>
        <v>12 m-cy 2022</v>
      </c>
      <c r="B2048" s="716" t="s">
        <v>531</v>
      </c>
      <c r="C2048" s="716" t="s">
        <v>862</v>
      </c>
      <c r="D2048" s="716"/>
    </row>
    <row r="2049" spans="1:4">
      <c r="A2049" s="715">
        <f>IF(ster!$A$1=1,names!B2049,IF(ster!$A$1=2,names!C2049))</f>
        <v>0</v>
      </c>
      <c r="B2049" s="716"/>
      <c r="C2049" s="716"/>
      <c r="D2049" s="716"/>
    </row>
    <row r="2050" spans="1:4" ht="32.25">
      <c r="A2050" s="715" t="str">
        <f>IF(ster!$A$1=1,names!B2050,IF(ster!$A$1=2,names!C2050))</f>
        <v>Wybrane dane operacyjne spółek dawnej Grupy PGNiG</v>
      </c>
      <c r="B2050" s="717" t="s">
        <v>617</v>
      </c>
      <c r="C2050" s="716" t="s">
        <v>1547</v>
      </c>
      <c r="D2050" s="716"/>
    </row>
    <row r="2051" spans="1:4">
      <c r="A2051" s="715">
        <f>IF(ster!$A$1=1,names!B2051,IF(ster!$A$1=2,names!C2051))</f>
        <v>0</v>
      </c>
      <c r="B2051" s="716"/>
      <c r="C2051" s="716"/>
      <c r="D2051" s="716"/>
    </row>
    <row r="2052" spans="1:4">
      <c r="A2052" s="715" t="str">
        <f>IF(ster!$A$1=1,names!B2052,IF(ster!$A$1=2,names!C2052))</f>
        <v>Wyszczególnienie</v>
      </c>
      <c r="B2052" s="716" t="s">
        <v>16</v>
      </c>
      <c r="C2052" s="716" t="s">
        <v>825</v>
      </c>
      <c r="D2052" s="716"/>
    </row>
    <row r="2053" spans="1:4">
      <c r="A2053" s="715">
        <f>IF(ster!$A$1=1,names!B2053,IF(ster!$A$1=2,names!C2053))</f>
        <v>0</v>
      </c>
      <c r="B2053" s="716"/>
      <c r="C2053" s="716"/>
      <c r="D2053" s="716"/>
    </row>
    <row r="2054" spans="1:4">
      <c r="A2054" s="715" t="str">
        <f>IF(ster!$A$1=1,names!B2054,IF(ster!$A$1=2,names!C2054))</f>
        <v>GAZ ZIEMNY</v>
      </c>
      <c r="B2054" s="716" t="s">
        <v>641</v>
      </c>
      <c r="C2054" s="716" t="s">
        <v>1257</v>
      </c>
      <c r="D2054" s="716"/>
    </row>
    <row r="2055" spans="1:4">
      <c r="A2055" s="715">
        <f>IF(ster!$A$1=1,names!B2055,IF(ster!$A$1=2,names!C2055))</f>
        <v>0</v>
      </c>
      <c r="B2055" s="716"/>
      <c r="C2055" s="716"/>
      <c r="D2055" s="716"/>
    </row>
    <row r="2056" spans="1:4">
      <c r="A2056" s="715" t="str">
        <f>IF(ster!$A$1=1,names!B2056,IF(ster!$A$1=2,names!C2056))</f>
        <v>Wolumen produkcji, w tym:</v>
      </c>
      <c r="B2056" s="716" t="s">
        <v>618</v>
      </c>
      <c r="C2056" s="716" t="s">
        <v>1548</v>
      </c>
      <c r="D2056" s="716"/>
    </row>
    <row r="2057" spans="1:4">
      <c r="A2057" s="715" t="str">
        <f>IF(ster!$A$1=1,names!B2057,IF(ster!$A$1=2,names!C2057))</f>
        <v xml:space="preserve">   - Polska</v>
      </c>
      <c r="B2057" s="716" t="s">
        <v>650</v>
      </c>
      <c r="C2057" s="716" t="s">
        <v>1549</v>
      </c>
      <c r="D2057" s="716"/>
    </row>
    <row r="2058" spans="1:4">
      <c r="A2058" s="715" t="str">
        <f>IF(ster!$A$1=1,names!B2058,IF(ster!$A$1=2,names!C2058))</f>
        <v xml:space="preserve">   - Pakistan</v>
      </c>
      <c r="B2058" s="716" t="s">
        <v>651</v>
      </c>
      <c r="C2058" s="716" t="s">
        <v>1550</v>
      </c>
      <c r="D2058" s="716"/>
    </row>
    <row r="2059" spans="1:4">
      <c r="A2059" s="715" t="str">
        <f>IF(ster!$A$1=1,names!B2059,IF(ster!$A$1=2,names!C2059))</f>
        <v xml:space="preserve"> - PGNiG Upstream Norway</v>
      </c>
      <c r="B2059" s="716" t="s">
        <v>622</v>
      </c>
      <c r="C2059" s="716" t="s">
        <v>622</v>
      </c>
      <c r="D2059" s="716"/>
    </row>
    <row r="2060" spans="1:4">
      <c r="A2060" s="715" t="str">
        <f>IF(ster!$A$1=1,names!B2060,IF(ster!$A$1=2,names!C2060))</f>
        <v>Wolumen importu do Polski, w tym:</v>
      </c>
      <c r="B2060" s="716" t="s">
        <v>619</v>
      </c>
      <c r="C2060" s="716" t="s">
        <v>1551</v>
      </c>
      <c r="D2060" s="716"/>
    </row>
    <row r="2061" spans="1:4">
      <c r="A2061" s="715" t="str">
        <f>IF(ster!$A$1=1,names!B2061,IF(ster!$A$1=2,names!C2061))</f>
        <v xml:space="preserve">   - z kierunku wschodniego, w tym:</v>
      </c>
      <c r="B2061" s="716" t="s">
        <v>620</v>
      </c>
      <c r="C2061" s="716" t="s">
        <v>1552</v>
      </c>
      <c r="D2061" s="716"/>
    </row>
    <row r="2062" spans="1:4">
      <c r="A2062" s="715" t="str">
        <f>IF(ster!$A$1=1,names!B2062,IF(ster!$A$1=2,names!C2062))</f>
        <v xml:space="preserve"> Litwa</v>
      </c>
      <c r="B2062" s="716" t="s">
        <v>652</v>
      </c>
      <c r="C2062" s="716" t="s">
        <v>1553</v>
      </c>
      <c r="D2062" s="716"/>
    </row>
    <row r="2063" spans="1:4">
      <c r="A2063" s="715" t="str">
        <f>IF(ster!$A$1=1,names!B2063,IF(ster!$A$1=2,names!C2063))</f>
        <v xml:space="preserve">   - LNG</v>
      </c>
      <c r="B2063" s="716" t="s">
        <v>621</v>
      </c>
      <c r="C2063" s="716" t="s">
        <v>621</v>
      </c>
      <c r="D2063" s="716"/>
    </row>
    <row r="2064" spans="1:4">
      <c r="A2064" s="715" t="str">
        <f>IF(ster!$A$1=1,names!B2064,IF(ster!$A$1=2,names!C2064))</f>
        <v>Wolumen sprzedaży poza Grupę PGNiG, w tym:</v>
      </c>
      <c r="B2064" s="716" t="s">
        <v>649</v>
      </c>
      <c r="C2064" s="716" t="s">
        <v>1554</v>
      </c>
      <c r="D2064" s="716"/>
    </row>
    <row r="2065" spans="1:4">
      <c r="A2065" s="715" t="str">
        <f>IF(ster!$A$1=1,names!B2065,IF(ster!$A$1=2,names!C2065))</f>
        <v xml:space="preserve"> - PGNiG SA:</v>
      </c>
      <c r="B2065" s="716" t="s">
        <v>623</v>
      </c>
      <c r="C2065" s="716" t="s">
        <v>623</v>
      </c>
      <c r="D2065" s="716"/>
    </row>
    <row r="2066" spans="1:4">
      <c r="A2066" s="715" t="str">
        <f>IF(ster!$A$1=1,names!B2066,IF(ster!$A$1=2,names!C2066))</f>
        <v>Towarowa Giełda Energii</v>
      </c>
      <c r="B2066" s="716" t="s">
        <v>653</v>
      </c>
      <c r="C2066" s="716" t="s">
        <v>1555</v>
      </c>
      <c r="D2066" s="716"/>
    </row>
    <row r="2067" spans="1:4">
      <c r="A2067" s="715" t="str">
        <f>IF(ster!$A$1=1,names!B2067,IF(ster!$A$1=2,names!C2067))</f>
        <v>Ukraina</v>
      </c>
      <c r="B2067" s="716" t="s">
        <v>654</v>
      </c>
      <c r="C2067" s="716" t="s">
        <v>1556</v>
      </c>
      <c r="D2067" s="716"/>
    </row>
    <row r="2068" spans="1:4">
      <c r="A2068" s="715" t="str">
        <f>IF(ster!$A$1=1,names!B2068,IF(ster!$A$1=2,names!C2068))</f>
        <v xml:space="preserve"> - PGNiG Obrót Detaliczny</v>
      </c>
      <c r="B2068" s="716" t="s">
        <v>625</v>
      </c>
      <c r="C2068" s="716" t="s">
        <v>625</v>
      </c>
      <c r="D2068" s="716"/>
    </row>
    <row r="2069" spans="1:4">
      <c r="A2069" s="715" t="str">
        <f>IF(ster!$A$1=1,names!B2069,IF(ster!$A$1=2,names!C2069))</f>
        <v xml:space="preserve"> - PGNiG Supply &amp; Trading </v>
      </c>
      <c r="B2069" s="716" t="s">
        <v>624</v>
      </c>
      <c r="C2069" s="716" t="s">
        <v>624</v>
      </c>
      <c r="D2069" s="716"/>
    </row>
    <row r="2070" spans="1:4">
      <c r="A2070" s="715">
        <f>IF(ster!$A$1=1,names!B2070,IF(ster!$A$1=2,names!C2070))</f>
        <v>0</v>
      </c>
      <c r="B2070" s="716"/>
      <c r="C2070" s="716"/>
      <c r="D2070" s="716"/>
    </row>
    <row r="2071" spans="1:4">
      <c r="A2071" s="715" t="str">
        <f>IF(ster!$A$1=1,names!B2071,IF(ster!$A$1=2,names!C2071))</f>
        <v>DYSTRYBUCJA</v>
      </c>
      <c r="B2071" s="716" t="s">
        <v>638</v>
      </c>
      <c r="C2071" s="716" t="s">
        <v>1557</v>
      </c>
      <c r="D2071" s="716"/>
    </row>
    <row r="2072" spans="1:4">
      <c r="A2072" s="715" t="str">
        <f>IF(ster!$A$1=1,names!B2072,IF(ster!$A$1=2,names!C2072))</f>
        <v>Polska Spółka Gazownictwa</v>
      </c>
      <c r="B2072" s="716" t="s">
        <v>655</v>
      </c>
      <c r="C2072" s="716" t="s">
        <v>1558</v>
      </c>
      <c r="D2072" s="716"/>
    </row>
    <row r="2073" spans="1:4">
      <c r="A2073" s="715">
        <f>IF(ster!$A$1=1,names!B2073,IF(ster!$A$1=2,names!C2073))</f>
        <v>0</v>
      </c>
      <c r="B2073" s="716"/>
      <c r="C2073" s="716"/>
      <c r="D2073" s="716"/>
    </row>
    <row r="2074" spans="1:4">
      <c r="A2074" s="715" t="str">
        <f>IF(ster!$A$1=1,names!B2074,IF(ster!$A$1=2,names!C2074))</f>
        <v>ROPA NAFTOWA*</v>
      </c>
      <c r="B2074" s="716" t="s">
        <v>642</v>
      </c>
      <c r="C2074" s="716" t="s">
        <v>1559</v>
      </c>
      <c r="D2074" s="716"/>
    </row>
    <row r="2075" spans="1:4">
      <c r="A2075" s="715" t="str">
        <f>IF(ster!$A$1=1,names!B2075,IF(ster!$A$1=2,names!C2075))</f>
        <v>Wolumen produkcji, w tym:</v>
      </c>
      <c r="B2075" s="716" t="s">
        <v>618</v>
      </c>
      <c r="C2075" s="716" t="s">
        <v>1560</v>
      </c>
      <c r="D2075" s="716"/>
    </row>
    <row r="2076" spans="1:4">
      <c r="A2076" s="715" t="str">
        <f>IF(ster!$A$1=1,names!B2076,IF(ster!$A$1=2,names!C2076))</f>
        <v xml:space="preserve"> - PGNiG Upstream Norway</v>
      </c>
      <c r="B2076" s="716" t="s">
        <v>622</v>
      </c>
      <c r="C2076" s="716" t="s">
        <v>622</v>
      </c>
      <c r="D2076" s="716"/>
    </row>
    <row r="2077" spans="1:4">
      <c r="A2077" s="715" t="str">
        <f>IF(ster!$A$1=1,names!B2077,IF(ster!$A$1=2,names!C2077))</f>
        <v>Wolumen sprzedaży, w tym:</v>
      </c>
      <c r="B2077" s="716" t="s">
        <v>626</v>
      </c>
      <c r="C2077" s="716" t="s">
        <v>1561</v>
      </c>
      <c r="D2077" s="716"/>
    </row>
    <row r="2078" spans="1:4">
      <c r="A2078" s="715" t="str">
        <f>IF(ster!$A$1=1,names!B2078,IF(ster!$A$1=2,names!C2078))</f>
        <v xml:space="preserve"> - PGNiG Upstream Norway</v>
      </c>
      <c r="B2078" s="716" t="s">
        <v>622</v>
      </c>
      <c r="C2078" s="716" t="s">
        <v>622</v>
      </c>
      <c r="D2078" s="716"/>
    </row>
    <row r="2079" spans="1:4">
      <c r="A2079" s="715">
        <f>IF(ster!$A$1=1,names!B2079,IF(ster!$A$1=2,names!C2079))</f>
        <v>0</v>
      </c>
      <c r="B2079" s="716"/>
      <c r="C2079" s="716"/>
      <c r="D2079" s="716"/>
    </row>
    <row r="2080" spans="1:4">
      <c r="A2080" s="715" t="str">
        <f>IF(ster!$A$1=1,names!B2080,IF(ster!$A$1=2,names!C2080))</f>
        <v>CIEPŁO i ENERGIA ELEKTRYCZNA**</v>
      </c>
      <c r="B2080" s="716" t="s">
        <v>643</v>
      </c>
      <c r="C2080" s="716" t="s">
        <v>1562</v>
      </c>
      <c r="D2080" s="716"/>
    </row>
    <row r="2081" spans="1:4">
      <c r="A2081" s="715" t="str">
        <f>IF(ster!$A$1=1,names!B2081,IF(ster!$A$1=2,names!C2081))</f>
        <v>Wolumen sprzedaży ciepła</v>
      </c>
      <c r="B2081" s="716" t="s">
        <v>639</v>
      </c>
      <c r="C2081" s="716" t="s">
        <v>1563</v>
      </c>
      <c r="D2081" s="716"/>
    </row>
    <row r="2082" spans="1:4">
      <c r="A2082" s="715" t="str">
        <f>IF(ster!$A$1=1,names!B2082,IF(ster!$A$1=2,names!C2082))</f>
        <v>Wolumen sprzedaży energii elektrycznej z produkcji</v>
      </c>
      <c r="B2082" s="716" t="s">
        <v>640</v>
      </c>
      <c r="C2082" s="716" t="s">
        <v>1564</v>
      </c>
      <c r="D2082" s="716"/>
    </row>
    <row r="2083" spans="1:4">
      <c r="A2083" s="715">
        <f>IF(ster!$A$1=1,names!B2083,IF(ster!$A$1=2,names!C2083))</f>
        <v>0</v>
      </c>
      <c r="B2083" s="716"/>
      <c r="C2083" s="716"/>
      <c r="D2083" s="716"/>
    </row>
    <row r="2084" spans="1:4">
      <c r="A2084" s="715">
        <f>IF(ster!$A$1=1,names!B2084,IF(ster!$A$1=2,names!C2084))</f>
        <v>0</v>
      </c>
      <c r="B2084" s="716"/>
      <c r="C2084" s="716"/>
      <c r="D2084" s="716"/>
    </row>
    <row r="2085" spans="1:4">
      <c r="A2085" s="715" t="str">
        <f>IF(ster!$A$1=1,names!B2085,IF(ster!$A$1=2,names!C2085))</f>
        <v>* dane łączne dla ropy naftowej, NGL i kondensatu.</v>
      </c>
      <c r="B2085" s="716" t="s">
        <v>644</v>
      </c>
      <c r="C2085" s="716" t="s">
        <v>1565</v>
      </c>
      <c r="D2085" s="716"/>
    </row>
    <row r="2086" spans="1:4" ht="32.25">
      <c r="A2086" s="715" t="str">
        <f>IF(ster!$A$1=1,names!B2086,IF(ster!$A$1=2,names!C2086))</f>
        <v>** dane PGNiG Termika S.A. oraz PGNiG Termika Energetyka Przemysłowa S.A.</v>
      </c>
      <c r="B2086" s="716" t="s">
        <v>645</v>
      </c>
      <c r="C2086" s="716" t="s">
        <v>1566</v>
      </c>
      <c r="D2086" s="716"/>
    </row>
    <row r="2087" spans="1:4">
      <c r="A2087" s="715" t="str">
        <f>IF(ster!$A$1=1,names!B2087,IF(ster!$A$1=2,names!C2087))</f>
        <v>j.m.</v>
      </c>
      <c r="B2087" s="716" t="s">
        <v>634</v>
      </c>
      <c r="C2087" s="716" t="s">
        <v>1567</v>
      </c>
      <c r="D2087" s="716"/>
    </row>
    <row r="2088" spans="1:4">
      <c r="A2088" s="715" t="str">
        <f>IF(ster!$A$1=1,names!B2088,IF(ster!$A$1=2,names!C2088))</f>
        <v>tys. ton</v>
      </c>
      <c r="B2088" s="716" t="s">
        <v>636</v>
      </c>
      <c r="C2088" s="716" t="s">
        <v>1568</v>
      </c>
      <c r="D2088" s="716"/>
    </row>
    <row r="2089" spans="1:4" ht="32.25">
      <c r="A2089" s="715" t="str">
        <f>IF(ster!$A$1=1,names!B2089,IF(ster!$A$1=2,names!C2089))</f>
        <v>IV kw. 
2021</v>
      </c>
      <c r="B2089" s="716" t="s">
        <v>500</v>
      </c>
      <c r="C2089" s="716" t="s">
        <v>963</v>
      </c>
      <c r="D2089" s="716"/>
    </row>
    <row r="2090" spans="1:4" ht="32.25">
      <c r="A2090" s="715" t="str">
        <f>IF(ster!$A$1=1,names!B2090,IF(ster!$A$1=2,names!C2090))</f>
        <v>12 m-cy 2021</v>
      </c>
      <c r="B2090" s="716" t="s">
        <v>501</v>
      </c>
      <c r="C2090" s="716" t="s">
        <v>857</v>
      </c>
      <c r="D2090" s="716"/>
    </row>
    <row r="2091" spans="1:4" ht="32.25">
      <c r="A2091" s="715" t="str">
        <f>IF(ster!$A$1=1,names!B2091,IF(ster!$A$1=2,names!C2091))</f>
        <v>IV kw. 
2022</v>
      </c>
      <c r="B2091" s="716" t="s">
        <v>530</v>
      </c>
      <c r="C2091" s="716" t="s">
        <v>861</v>
      </c>
      <c r="D2091" s="716"/>
    </row>
    <row r="2092" spans="1:4" ht="32.25">
      <c r="A2092" s="715" t="str">
        <f>IF(ster!$A$1=1,names!B2092,IF(ster!$A$1=2,names!C2092))</f>
        <v>11-12
2022</v>
      </c>
      <c r="B2092" s="716" t="s">
        <v>627</v>
      </c>
      <c r="C2092" s="716" t="s">
        <v>627</v>
      </c>
      <c r="D2092" s="716"/>
    </row>
    <row r="2093" spans="1:4" ht="32.25">
      <c r="A2093" s="715" t="str">
        <f>IF(ster!$A$1=1,names!B2093,IF(ster!$A$1=2,names!C2093))</f>
        <v>12 m-cy 2022</v>
      </c>
      <c r="B2093" s="716" t="s">
        <v>531</v>
      </c>
      <c r="C2093" s="716" t="s">
        <v>862</v>
      </c>
      <c r="D2093" s="716"/>
    </row>
    <row r="2094" spans="1:4">
      <c r="A2094" s="715">
        <f>IF(ster!$A$1=1,names!B2094,IF(ster!$A$1=2,names!C2094))</f>
        <v>0</v>
      </c>
      <c r="B2094" s="716"/>
      <c r="C2094" s="716"/>
      <c r="D2094" s="716"/>
    </row>
    <row r="2095" spans="1:4" ht="32.25">
      <c r="A2095" s="715" t="str">
        <f>IF(ster!$A$1=1,names!B2095,IF(ster!$A$1=2,names!C2095))</f>
        <v>I kw. 
2024*</v>
      </c>
      <c r="B2095" s="716" t="s">
        <v>1668</v>
      </c>
      <c r="C2095" s="716" t="s">
        <v>1673</v>
      </c>
      <c r="D2095" s="716"/>
    </row>
    <row r="2096" spans="1:4" ht="32.25">
      <c r="A2096" s="715" t="str">
        <f>IF(ster!$A$1=1,names!B2096,IF(ster!$A$1=2,names!C2096))</f>
        <v>II kw. 
2024*</v>
      </c>
      <c r="B2096" s="716" t="s">
        <v>1669</v>
      </c>
      <c r="C2096" s="716" t="s">
        <v>1674</v>
      </c>
      <c r="D2096" s="716"/>
    </row>
    <row r="2097" spans="1:4" ht="32.25">
      <c r="A2097" s="715" t="str">
        <f>IF(ster!$A$1=1,names!B2097,IF(ster!$A$1=2,names!C2097))</f>
        <v>III kw. 
2024*</v>
      </c>
      <c r="B2097" s="716" t="s">
        <v>1670</v>
      </c>
      <c r="C2097" s="716" t="s">
        <v>1675</v>
      </c>
      <c r="D2097" s="716"/>
    </row>
    <row r="2098" spans="1:4" ht="32.25">
      <c r="A2098" s="715" t="str">
        <f>IF(ster!$A$1=1,names!B2098,IF(ster!$A$1=2,names!C2098))</f>
        <v>IV kw. 
2024*</v>
      </c>
      <c r="B2098" s="716" t="s">
        <v>1671</v>
      </c>
      <c r="C2098" s="716" t="s">
        <v>1676</v>
      </c>
      <c r="D2098" s="716"/>
    </row>
    <row r="2099" spans="1:4" ht="32.25">
      <c r="A2099" s="715" t="str">
        <f>IF(ster!$A$1=1,names!B2099,IF(ster!$A$1=2,names!C2099))</f>
        <v>12 m-cy 2024*</v>
      </c>
      <c r="B2099" s="716" t="s">
        <v>1672</v>
      </c>
      <c r="C2099" s="716" t="s">
        <v>1677</v>
      </c>
      <c r="D2099" s="716"/>
    </row>
    <row r="2100" spans="1:4" ht="32.25">
      <c r="A2100" s="715" t="str">
        <f>IF(ster!$A$1=1,names!B2100,IF(ster!$A$1=2,names!C2100))</f>
        <v>Dług netto/Wynik z działalności operacyjnej powiększony o amortyzację z ostatnich czterech kwartałów  (EBITDA) 5)</v>
      </c>
      <c r="B2100" s="716" t="s">
        <v>1751</v>
      </c>
      <c r="C2100" s="716" t="s">
        <v>1752</v>
      </c>
      <c r="D2100" s="716"/>
    </row>
    <row r="2101" spans="1:4">
      <c r="A2101" s="715" t="str">
        <f>IF(ster!$A$1=1,names!B2101,IF(ster!$A$1=2,names!C2101))</f>
        <v>Wpływ wyceny zapasów wg LIFO na poziom EBITDA</v>
      </c>
      <c r="B2101" s="716" t="s">
        <v>1749</v>
      </c>
      <c r="C2101" s="716" t="s">
        <v>1750</v>
      </c>
      <c r="D2101" s="716"/>
    </row>
    <row r="2102" spans="1:4" ht="32.25">
      <c r="A2102" s="715" t="str">
        <f>IF(ster!$A$1=1,names!B2102,IF(ster!$A$1=2,names!C2102))</f>
        <v>*) Segment rafineria, petrochemia, energetyka, detal, wydobycie, gaz: dane przekształcone.</v>
      </c>
      <c r="B2102" s="716" t="s">
        <v>1678</v>
      </c>
      <c r="C2102" s="716" t="s">
        <v>1679</v>
      </c>
      <c r="D2102" s="716"/>
    </row>
    <row r="2103" spans="1:4">
      <c r="A2103" s="715">
        <f>IF(ster!$A$1=1,names!B2103,IF(ster!$A$1=2,names!C2103))</f>
        <v>0</v>
      </c>
      <c r="B2103" s="716"/>
      <c r="C2103" s="716"/>
      <c r="D2103" s="716"/>
    </row>
    <row r="2104" spans="1:4">
      <c r="A2104" s="715" t="str">
        <f>IF(ster!$A$1=1,names!B2104,IF(ster!$A$1=2,names!C2104))</f>
        <v>Upstream&amp;Supply</v>
      </c>
      <c r="B2104" s="716" t="s">
        <v>1680</v>
      </c>
      <c r="C2104" s="799" t="str">
        <f>B2104</f>
        <v>Upstream&amp;Supply</v>
      </c>
      <c r="D2104" s="799"/>
    </row>
    <row r="2105" spans="1:4">
      <c r="A2105" s="715" t="str">
        <f>IF(ster!$A$1=1,names!B2105,IF(ster!$A$1=2,names!C2105))</f>
        <v>Wydobycie (Polska)</v>
      </c>
      <c r="B2105" s="716" t="s">
        <v>1720</v>
      </c>
      <c r="C2105" s="799" t="s">
        <v>1723</v>
      </c>
      <c r="D2105" s="799"/>
    </row>
    <row r="2106" spans="1:4">
      <c r="A2106" s="715" t="str">
        <f>IF(ster!$A$1=1,names!B2106,IF(ster!$A$1=2,names!C2106))</f>
        <v>Wydobycie (Zagranica)</v>
      </c>
      <c r="B2106" s="716" t="s">
        <v>1721</v>
      </c>
      <c r="C2106" s="799" t="s">
        <v>1724</v>
      </c>
      <c r="D2106" s="799"/>
    </row>
    <row r="2107" spans="1:4">
      <c r="A2107" s="715" t="str">
        <f>IF(ster!$A$1=1,names!B2107,IF(ster!$A$1=2,names!C2107))</f>
        <v>Obrót Hurtowy Ropą i Gazem</v>
      </c>
      <c r="B2107" s="716" t="s">
        <v>1722</v>
      </c>
      <c r="C2107" s="799" t="s">
        <v>1805</v>
      </c>
      <c r="D2107" s="799"/>
    </row>
    <row r="2108" spans="1:4">
      <c r="A2108" s="715" t="str">
        <f>IF(ster!$A$1=1,names!B2108,IF(ster!$A$1=2,names!C2108))</f>
        <v>Pozostałe</v>
      </c>
      <c r="B2108" s="716" t="s">
        <v>47</v>
      </c>
      <c r="C2108" s="799" t="s">
        <v>1739</v>
      </c>
      <c r="D2108" s="799"/>
    </row>
    <row r="2109" spans="1:4">
      <c r="A2109" s="715" t="str">
        <f>IF(ster!$A$1=1,names!B2109,IF(ster!$A$1=2,names!C2109))</f>
        <v>Downstream</v>
      </c>
      <c r="B2109" s="716" t="s">
        <v>1681</v>
      </c>
      <c r="C2109" s="799" t="str">
        <f t="shared" ref="C2109:C2118" si="3">B2109</f>
        <v>Downstream</v>
      </c>
      <c r="D2109" s="799"/>
    </row>
    <row r="2110" spans="1:4">
      <c r="A2110" s="715" t="str">
        <f>IF(ster!$A$1=1,names!B2110,IF(ster!$A$1=2,names!C2110))</f>
        <v>Rafineria (Produkcja i Obrót)</v>
      </c>
      <c r="B2110" s="716" t="s">
        <v>1725</v>
      </c>
      <c r="C2110" s="799" t="s">
        <v>794</v>
      </c>
      <c r="D2110" s="799"/>
    </row>
    <row r="2111" spans="1:4">
      <c r="A2111" s="715" t="str">
        <f>IF(ster!$A$1=1,names!B2111,IF(ster!$A$1=2,names!C2111))</f>
        <v>Petrochemia (Produkcja i Obrót)</v>
      </c>
      <c r="B2111" s="716" t="s">
        <v>1726</v>
      </c>
      <c r="C2111" s="799" t="s">
        <v>795</v>
      </c>
      <c r="D2111" s="799"/>
    </row>
    <row r="2112" spans="1:4">
      <c r="A2112" s="715" t="str">
        <f>IF(ster!$A$1=1,names!B2112,IF(ster!$A$1=2,names!C2112))</f>
        <v>Energy</v>
      </c>
      <c r="B2112" s="716" t="s">
        <v>796</v>
      </c>
      <c r="C2112" s="799" t="str">
        <f t="shared" si="3"/>
        <v>Energy</v>
      </c>
      <c r="D2112" s="799"/>
    </row>
    <row r="2113" spans="1:4">
      <c r="A2113" s="715" t="str">
        <f>IF(ster!$A$1=1,names!B2113,IF(ster!$A$1=2,names!C2113))</f>
        <v>Sieci Dystrybucyjne (Energia i Gaz)</v>
      </c>
      <c r="B2113" s="716" t="s">
        <v>1727</v>
      </c>
      <c r="C2113" s="799" t="s">
        <v>1733</v>
      </c>
      <c r="D2113" s="799"/>
    </row>
    <row r="2114" spans="1:4">
      <c r="A2114" s="715" t="str">
        <f>IF(ster!$A$1=1,names!B2114,IF(ster!$A$1=2,names!C2114))</f>
        <v>Ciepłownictwo</v>
      </c>
      <c r="B2114" s="716" t="s">
        <v>1728</v>
      </c>
      <c r="C2114" s="799" t="s">
        <v>1536</v>
      </c>
      <c r="D2114" s="799"/>
    </row>
    <row r="2115" spans="1:4">
      <c r="A2115" s="715" t="str">
        <f>IF(ster!$A$1=1,names!B2115,IF(ster!$A$1=2,names!C2115))</f>
        <v>Energetyka konwencjonalna</v>
      </c>
      <c r="B2115" s="851" t="s">
        <v>1852</v>
      </c>
      <c r="C2115" s="799" t="s">
        <v>1853</v>
      </c>
      <c r="D2115" s="799"/>
    </row>
    <row r="2116" spans="1:4">
      <c r="A2116" s="715" t="str">
        <f>IF(ster!$A$1=1,names!B2116,IF(ster!$A$1=2,names!C2116))</f>
        <v>OZE</v>
      </c>
      <c r="B2116" s="716" t="s">
        <v>1729</v>
      </c>
      <c r="C2116" s="799" t="s">
        <v>1535</v>
      </c>
      <c r="D2116" s="799"/>
    </row>
    <row r="2117" spans="1:4">
      <c r="A2117" s="715" t="str">
        <f>IF(ster!$A$1=1,names!B2117,IF(ster!$A$1=2,names!C2117))</f>
        <v>Handel Energią Elektryczną</v>
      </c>
      <c r="B2117" s="716" t="s">
        <v>1730</v>
      </c>
      <c r="C2117" s="799" t="s">
        <v>1734</v>
      </c>
      <c r="D2117" s="799"/>
    </row>
    <row r="2118" spans="1:4">
      <c r="A2118" s="715" t="str">
        <f>IF(ster!$A$1=1,names!B2118,IF(ster!$A$1=2,names!C2118))</f>
        <v>Consumers&amp;Products</v>
      </c>
      <c r="B2118" s="716" t="s">
        <v>1682</v>
      </c>
      <c r="C2118" s="799" t="str">
        <f t="shared" si="3"/>
        <v>Consumers&amp;Products</v>
      </c>
      <c r="D2118" s="799"/>
    </row>
    <row r="2119" spans="1:4">
      <c r="A2119" s="715" t="str">
        <f>IF(ster!$A$1=1,names!B2119,IF(ster!$A$1=2,names!C2119))</f>
        <v>Detal (Paliwo i Sklep)</v>
      </c>
      <c r="B2119" s="716" t="s">
        <v>1732</v>
      </c>
      <c r="C2119" s="799" t="s">
        <v>1735</v>
      </c>
      <c r="D2119" s="799"/>
    </row>
    <row r="2120" spans="1:4">
      <c r="A2120" s="715" t="str">
        <f>IF(ster!$A$1=1,names!B2120,IF(ster!$A$1=2,names!C2120))</f>
        <v>Detal (Energia i Gaz)</v>
      </c>
      <c r="B2120" s="716" t="s">
        <v>1731</v>
      </c>
      <c r="C2120" s="799" t="s">
        <v>1736</v>
      </c>
      <c r="D2120" s="799"/>
    </row>
    <row r="2121" spans="1:4">
      <c r="A2121" s="716" t="str">
        <f>IF(ster!$A$1=1,names!B2121,IF(ster!$A$1=2,names!C2121))</f>
        <v xml:space="preserve">  Corporate functions 1)</v>
      </c>
      <c r="B2121" s="716" t="s">
        <v>1454</v>
      </c>
      <c r="C2121" s="716" t="s">
        <v>1454</v>
      </c>
      <c r="D2121" s="716"/>
    </row>
    <row r="2122" spans="1:4" ht="48">
      <c r="A2122" s="715" t="str">
        <f>IF(ster!$A$1=1,names!B2122,IF(ster!$A$1=2,names!C2122))</f>
        <v>Dług netto/Wynik z działalności operacyjnej wg LIFO powiększony o amortyzację z ostatnich czterech kwartałów  (EBITDA LIFO) 5)</v>
      </c>
      <c r="B2122" s="716" t="s">
        <v>1683</v>
      </c>
      <c r="C2122" s="716" t="s">
        <v>1685</v>
      </c>
      <c r="D2122" s="716"/>
    </row>
    <row r="2123" spans="1:4" ht="32.25">
      <c r="A2123" s="715" t="str">
        <f>IF(ster!$A$1=1,names!B2123,IF(ster!$A$1=2,names!C2123))</f>
        <v>Dług netto/Wynik z działalności operacyjnej powiększony o amortyzację z ostatnich czterech kwartałów  (EBITDA) 6)</v>
      </c>
      <c r="B2123" s="716" t="s">
        <v>1684</v>
      </c>
      <c r="C2123" s="716" t="s">
        <v>1686</v>
      </c>
      <c r="D2123" s="716"/>
    </row>
    <row r="2124" spans="1:4" ht="111">
      <c r="A2124" s="716" t="str">
        <f>IF(ster!$A$1=1,names!B2124,IF(ster!$A$1=2,names!C2124))</f>
        <v>**) Odpisy aktualizujące wartość aktywów trwałych ujęte w:
- I kwartale 2024 roku w wysokości (0,7) mld PLN dotyczące głównie aktywów Downstream ORLEN S.A.
- I kwartale 2025 roku w wysokości (1,4) mld PLN dotyczące głównie aktywów Downstream ORLEN S.A. oraz Grupy ORLEN Lietuva.</v>
      </c>
      <c r="B2124" s="716" t="s">
        <v>1832</v>
      </c>
      <c r="C2124" s="716" t="s">
        <v>1833</v>
      </c>
      <c r="D2124" s="716"/>
    </row>
    <row r="2125" spans="1:4" ht="48">
      <c r="A2125" s="715" t="str">
        <f>IF(ster!$A$1=1,names!B2125,IF(ster!$A$1=2,names!C2125))</f>
        <v>5) Dług (odsetkowy) pomniejszony o środki pieniężne i ich ekwiwalenty na koniec okresu / EBITDA z ostatnich czterech kwartałów.</v>
      </c>
      <c r="B2125" s="716" t="s">
        <v>1753</v>
      </c>
      <c r="C2125" s="715" t="s">
        <v>1754</v>
      </c>
    </row>
    <row r="2126" spans="1:4" ht="48">
      <c r="A2126" s="715" t="str">
        <f>IF(ster!$A$1=1,names!B2126,IF(ster!$A$1=2,names!C2126))</f>
        <v>I kw.
2025
przed odpisem**</v>
      </c>
      <c r="B2126" s="716" t="s">
        <v>1691</v>
      </c>
      <c r="C2126" s="716" t="s">
        <v>1697</v>
      </c>
      <c r="D2126" s="716"/>
    </row>
    <row r="2127" spans="1:4" ht="48">
      <c r="A2127" s="715" t="str">
        <f>IF(ster!$A$1=1,names!B2127,IF(ster!$A$1=2,names!C2127))</f>
        <v>II kw.
2025
przed odpisem**</v>
      </c>
      <c r="B2127" s="716" t="s">
        <v>1692</v>
      </c>
      <c r="C2127" s="716" t="s">
        <v>1698</v>
      </c>
      <c r="D2127" s="716"/>
    </row>
    <row r="2128" spans="1:4" ht="48">
      <c r="A2128" s="715" t="str">
        <f>IF(ster!$A$1=1,names!B2128,IF(ster!$A$1=2,names!C2128))</f>
        <v>III kw.
2025
przed odpisem**</v>
      </c>
      <c r="B2128" s="716" t="s">
        <v>1693</v>
      </c>
      <c r="C2128" s="716" t="s">
        <v>1699</v>
      </c>
      <c r="D2128" s="716"/>
    </row>
    <row r="2129" spans="1:4" ht="48">
      <c r="A2129" s="715" t="str">
        <f>IF(ster!$A$1=1,names!B2129,IF(ster!$A$1=2,names!C2129))</f>
        <v>IV kw.
2025
przed odpisem**</v>
      </c>
      <c r="B2129" s="716" t="s">
        <v>1694</v>
      </c>
      <c r="C2129" s="716" t="s">
        <v>1695</v>
      </c>
      <c r="D2129" s="716"/>
    </row>
    <row r="2130" spans="1:4" ht="48">
      <c r="A2130" s="715" t="str">
        <f>IF(ster!$A$1=1,names!B2130,IF(ster!$A$1=2,names!C2130))</f>
        <v>12 m-cy
2025
przed odpisem**</v>
      </c>
      <c r="B2130" s="716" t="s">
        <v>1700</v>
      </c>
      <c r="C2130" s="716" t="s">
        <v>1696</v>
      </c>
      <c r="D2130" s="716"/>
    </row>
    <row r="2131" spans="1:4">
      <c r="A2131" s="715" t="str">
        <f>IF(ster!$A$1=1,names!B2131,IF(ster!$A$1=2,names!C2131))</f>
        <v>efekt LIFO (Upstream&amp;Supply)</v>
      </c>
      <c r="B2131" s="716" t="s">
        <v>1687</v>
      </c>
      <c r="C2131" s="716" t="s">
        <v>1689</v>
      </c>
      <c r="D2131" s="716"/>
    </row>
    <row r="2132" spans="1:4">
      <c r="A2132" s="715" t="str">
        <f>IF(ster!$A$1=1,names!B2132,IF(ster!$A$1=2,names!C2132))</f>
        <v>efekt LIFO (Downstream)</v>
      </c>
      <c r="B2132" s="716" t="s">
        <v>1688</v>
      </c>
      <c r="C2132" s="716" t="s">
        <v>1690</v>
      </c>
      <c r="D2132" s="716"/>
    </row>
    <row r="2133" spans="1:4">
      <c r="A2133" s="715" t="str">
        <f>IF(ster!$A$1=1,names!B2133,IF(ster!$A$1=2,names!C2133))</f>
        <v>w tym: Produkcja Rafineryjna</v>
      </c>
      <c r="B2133" s="716" t="s">
        <v>1800</v>
      </c>
      <c r="C2133" s="716" t="s">
        <v>1804</v>
      </c>
      <c r="D2133" s="716"/>
    </row>
    <row r="2134" spans="1:4">
      <c r="A2134" s="715" t="str">
        <f>IF(ster!$A$1=1,names!B2134,IF(ster!$A$1=2,names!C2134))</f>
        <v>w tym: Produkcja Petrochemiczna</v>
      </c>
      <c r="B2134" s="716" t="s">
        <v>1801</v>
      </c>
      <c r="C2134" s="716" t="s">
        <v>1803</v>
      </c>
      <c r="D2134" s="716"/>
    </row>
    <row r="2135" spans="1:4">
      <c r="A2135" s="715" t="str">
        <f>IF(ster!$A$1=1,names!B2135,IF(ster!$A$1=2,names!C2135))</f>
        <v>w tym: Obrót hurtowy produktami rafineryjnymi</v>
      </c>
      <c r="B2135" s="716" t="s">
        <v>1802</v>
      </c>
      <c r="C2135" s="716" t="s">
        <v>1851</v>
      </c>
      <c r="D2135" s="716"/>
    </row>
    <row r="2136" spans="1:4">
      <c r="A2136" s="715">
        <f>IF(ster!$A$1=1,names!B2136,IF(ster!$A$1=2,names!C2136))</f>
        <v>0</v>
      </c>
      <c r="B2136" s="716"/>
      <c r="C2136" s="716"/>
      <c r="D2136" s="716"/>
    </row>
    <row r="2137" spans="1:4">
      <c r="A2137" s="715" t="str">
        <f>IF(ster!$A$1=1,names!B2137,IF(ster!$A$1=2,names!C2137))</f>
        <v>Downstream, w tym:</v>
      </c>
      <c r="B2137" s="716" t="s">
        <v>1737</v>
      </c>
      <c r="C2137" s="716" t="s">
        <v>1738</v>
      </c>
      <c r="D2137" s="716"/>
    </row>
    <row r="2138" spans="1:4">
      <c r="A2138" s="715">
        <f>IF(ster!$A$1=1,names!B2138,IF(ster!$A$1=2,names!C2138))</f>
        <v>0</v>
      </c>
      <c r="B2138" s="716"/>
      <c r="C2138" s="716"/>
      <c r="D2138" s="716"/>
    </row>
    <row r="2139" spans="1:4">
      <c r="A2139" s="715" t="str">
        <f>IF(ster!$A$1=1,names!B2139,IF(ster!$A$1=2,names!C2139))</f>
        <v>Parametry makroekonomiczne</v>
      </c>
      <c r="B2139" s="716" t="s">
        <v>262</v>
      </c>
      <c r="C2139" s="716" t="s">
        <v>824</v>
      </c>
      <c r="D2139" s="716"/>
    </row>
    <row r="2140" spans="1:4">
      <c r="A2140" s="715" t="str">
        <f>IF(ster!$A$1=1,names!B2140,IF(ster!$A$1=2,names!C2140))</f>
        <v>Cena gazu ziemnego TGEgasDA (PLN/MWh)</v>
      </c>
      <c r="B2140" s="716" t="s">
        <v>1755</v>
      </c>
      <c r="C2140" s="716" t="s">
        <v>1773</v>
      </c>
      <c r="D2140" s="716"/>
    </row>
    <row r="2141" spans="1:4">
      <c r="A2141" s="715" t="str">
        <f>IF(ster!$A$1=1,names!B2141,IF(ster!$A$1=2,names!C2141))</f>
        <v>Cena gazu ziemnego TTF month-ahead (PLN/MWh)</v>
      </c>
      <c r="B2141" s="716" t="s">
        <v>1756</v>
      </c>
      <c r="C2141" s="716" t="s">
        <v>1772</v>
      </c>
      <c r="D2141" s="716"/>
    </row>
    <row r="2142" spans="1:4">
      <c r="A2142" s="715" t="str">
        <f>IF(ster!$A$1=1,names!B2142,IF(ster!$A$1=2,names!C2142))</f>
        <v>Cena gazu ziemnego Henry Hub (PLN/MWh)</v>
      </c>
      <c r="B2142" s="716" t="s">
        <v>1757</v>
      </c>
      <c r="C2142" s="716" t="s">
        <v>1775</v>
      </c>
      <c r="D2142" s="716"/>
    </row>
    <row r="2143" spans="1:4">
      <c r="A2143" s="715" t="str">
        <f>IF(ster!$A$1=1,names!B2143,IF(ster!$A$1=2,names!C2143))</f>
        <v>Ropa naftowa Brent (USD/bbl)</v>
      </c>
      <c r="B2143" s="716" t="s">
        <v>116</v>
      </c>
      <c r="C2143" s="716" t="s">
        <v>826</v>
      </c>
      <c r="D2143" s="716"/>
    </row>
    <row r="2144" spans="1:4">
      <c r="A2144" s="715" t="str">
        <f>IF(ster!$A$1=1,names!B2144,IF(ster!$A$1=2,names!C2144))</f>
        <v>Cena energii elektrycznej TGeBase (PLN/MWh)</v>
      </c>
      <c r="B2144" s="716" t="s">
        <v>1758</v>
      </c>
      <c r="C2144" s="716" t="s">
        <v>1774</v>
      </c>
      <c r="D2144" s="716"/>
    </row>
    <row r="2145" spans="1:4">
      <c r="A2145" s="715" t="str">
        <f>IF(ster!$A$1=1,names!B2145,IF(ster!$A$1=2,names!C2145))</f>
        <v>Prawa do emisji CO2 (EUR/t)</v>
      </c>
      <c r="B2145" s="716" t="s">
        <v>1759</v>
      </c>
      <c r="C2145" s="716" t="s">
        <v>1782</v>
      </c>
      <c r="D2145" s="716"/>
    </row>
    <row r="2146" spans="1:4">
      <c r="A2146" s="715" t="str">
        <f>IF(ster!$A$1=1,names!B2146,IF(ster!$A$1=2,names!C2146))</f>
        <v>Modelowa marża rafineryjna (USD/bbl) 1)</v>
      </c>
      <c r="B2146" s="716" t="s">
        <v>1760</v>
      </c>
      <c r="C2146" s="716" t="s">
        <v>1769</v>
      </c>
      <c r="D2146" s="716"/>
    </row>
    <row r="2147" spans="1:4">
      <c r="A2147" s="715" t="str">
        <f>IF(ster!$A$1=1,names!B2147,IF(ster!$A$1=2,names!C2147))</f>
        <v>Dyferencjał 2)</v>
      </c>
      <c r="B2147" s="716" t="s">
        <v>1761</v>
      </c>
      <c r="C2147" s="716" t="s">
        <v>1762</v>
      </c>
      <c r="D2147" s="716"/>
    </row>
    <row r="2148" spans="1:4">
      <c r="A2148" s="715" t="str">
        <f>IF(ster!$A$1=1,names!B2148,IF(ster!$A$1=2,names!C2148))</f>
        <v>Modelowa marża petrochemiczna (EUR/t) 3)</v>
      </c>
      <c r="B2148" s="716" t="s">
        <v>1763</v>
      </c>
      <c r="C2148" s="716" t="s">
        <v>1764</v>
      </c>
      <c r="D2148" s="716"/>
    </row>
    <row r="2149" spans="1:4" ht="32.25">
      <c r="A2149" s="715" t="str">
        <f>IF(ster!$A$1=1,names!B2149,IF(ster!$A$1=2,names!C2149))</f>
        <v>Produkty rafineryjne (USD/t) – marża (crack) z notowań 4)</v>
      </c>
      <c r="B2149" s="716" t="s">
        <v>1835</v>
      </c>
      <c r="C2149" s="716" t="s">
        <v>1783</v>
      </c>
      <c r="D2149" s="716"/>
    </row>
    <row r="2150" spans="1:4">
      <c r="A2150" s="715" t="str">
        <f>IF(ster!$A$1=1,names!B2150,IF(ster!$A$1=2,names!C2150))</f>
        <v>Benzyna</v>
      </c>
      <c r="B2150" s="716" t="s">
        <v>98</v>
      </c>
      <c r="C2150" s="716" t="s">
        <v>832</v>
      </c>
      <c r="D2150" s="716"/>
    </row>
    <row r="2151" spans="1:4">
      <c r="A2151" s="715" t="str">
        <f>IF(ster!$A$1=1,names!B2151,IF(ster!$A$1=2,names!C2151))</f>
        <v>ON</v>
      </c>
      <c r="B2151" s="716" t="s">
        <v>12</v>
      </c>
      <c r="C2151" s="716" t="s">
        <v>833</v>
      </c>
      <c r="D2151" s="716"/>
    </row>
    <row r="2152" spans="1:4">
      <c r="A2152" s="715" t="str">
        <f>IF(ster!$A$1=1,names!B2152,IF(ster!$A$1=2,names!C2152))</f>
        <v>Lekki olej opałowy</v>
      </c>
      <c r="B2152" s="716" t="s">
        <v>49</v>
      </c>
      <c r="C2152" s="716" t="s">
        <v>834</v>
      </c>
      <c r="D2152" s="716"/>
    </row>
    <row r="2153" spans="1:4">
      <c r="A2153" s="715" t="str">
        <f>IF(ster!$A$1=1,names!B2153,IF(ster!$A$1=2,names!C2153))</f>
        <v>Jet A-1</v>
      </c>
      <c r="B2153" s="716" t="s">
        <v>101</v>
      </c>
      <c r="C2153" s="716" t="s">
        <v>835</v>
      </c>
      <c r="D2153" s="716"/>
    </row>
    <row r="2154" spans="1:4">
      <c r="A2154" s="715" t="str">
        <f>IF(ster!$A$1=1,names!B2154,IF(ster!$A$1=2,names!C2154))</f>
        <v>Ciężki olej opałowy</v>
      </c>
      <c r="B2154" s="716" t="s">
        <v>99</v>
      </c>
      <c r="C2154" s="716" t="s">
        <v>836</v>
      </c>
      <c r="D2154" s="716"/>
    </row>
    <row r="2155" spans="1:4">
      <c r="A2155" s="715" t="str">
        <f>IF(ster!$A$1=1,names!B2155,IF(ster!$A$1=2,names!C2155))</f>
        <v>SN 150</v>
      </c>
      <c r="B2155" s="716" t="s">
        <v>150</v>
      </c>
      <c r="C2155" s="716" t="s">
        <v>150</v>
      </c>
      <c r="D2155" s="716"/>
    </row>
    <row r="2156" spans="1:4" ht="32.25">
      <c r="A2156" s="715" t="str">
        <f>IF(ster!$A$1=1,names!B2156,IF(ster!$A$1=2,names!C2156))</f>
        <v>Produkty petrochemiczne (EUR/t) – marża (crack) z notowań 4)</v>
      </c>
      <c r="B2156" s="716" t="s">
        <v>1834</v>
      </c>
      <c r="C2156" s="716" t="s">
        <v>1784</v>
      </c>
      <c r="D2156" s="716"/>
    </row>
    <row r="2157" spans="1:4">
      <c r="A2157" s="715" t="str">
        <f>IF(ster!$A$1=1,names!B2157,IF(ster!$A$1=2,names!C2157))</f>
        <v>Polietylen 5)</v>
      </c>
      <c r="B2157" s="716" t="s">
        <v>1777</v>
      </c>
      <c r="C2157" s="716" t="s">
        <v>1778</v>
      </c>
      <c r="D2157" s="716"/>
    </row>
    <row r="2158" spans="1:4">
      <c r="A2158" s="715" t="str">
        <f>IF(ster!$A$1=1,names!B2158,IF(ster!$A$1=2,names!C2158))</f>
        <v>Polipropylen 5)</v>
      </c>
      <c r="B2158" s="716" t="s">
        <v>1776</v>
      </c>
      <c r="C2158" s="716" t="s">
        <v>1779</v>
      </c>
      <c r="D2158" s="716"/>
    </row>
    <row r="2159" spans="1:4">
      <c r="A2159" s="715" t="str">
        <f>IF(ster!$A$1=1,names!B2159,IF(ster!$A$1=2,names!C2159))</f>
        <v>Etylen</v>
      </c>
      <c r="B2159" s="716" t="s">
        <v>31</v>
      </c>
      <c r="C2159" s="716" t="s">
        <v>837</v>
      </c>
      <c r="D2159" s="716"/>
    </row>
    <row r="2160" spans="1:4">
      <c r="A2160" s="715" t="str">
        <f>IF(ster!$A$1=1,names!B2160,IF(ster!$A$1=2,names!C2160))</f>
        <v>Propylen</v>
      </c>
      <c r="B2160" s="716" t="s">
        <v>32</v>
      </c>
      <c r="C2160" s="716" t="s">
        <v>838</v>
      </c>
      <c r="D2160" s="716"/>
    </row>
    <row r="2161" spans="1:4">
      <c r="A2161" s="715" t="str">
        <f>IF(ster!$A$1=1,names!B2161,IF(ster!$A$1=2,names!C2161))</f>
        <v>Toluen</v>
      </c>
      <c r="B2161" s="716" t="s">
        <v>97</v>
      </c>
      <c r="C2161" s="716" t="s">
        <v>839</v>
      </c>
      <c r="D2161" s="716"/>
    </row>
    <row r="2162" spans="1:4">
      <c r="A2162" s="715" t="str">
        <f>IF(ster!$A$1=1,names!B2162,IF(ster!$A$1=2,names!C2162))</f>
        <v>Benzen</v>
      </c>
      <c r="B2162" s="716" t="s">
        <v>95</v>
      </c>
      <c r="C2162" s="716" t="s">
        <v>840</v>
      </c>
      <c r="D2162" s="716"/>
    </row>
    <row r="2163" spans="1:4">
      <c r="A2163" s="715" t="str">
        <f>IF(ster!$A$1=1,names!B2163,IF(ster!$A$1=2,names!C2163))</f>
        <v>Butadien</v>
      </c>
      <c r="B2163" s="716" t="s">
        <v>51</v>
      </c>
      <c r="C2163" s="716" t="s">
        <v>841</v>
      </c>
      <c r="D2163" s="716"/>
    </row>
    <row r="2164" spans="1:4">
      <c r="A2164" s="715" t="str">
        <f>IF(ster!$A$1=1,names!B2164,IF(ster!$A$1=2,names!C2164))</f>
        <v>Paraksylen</v>
      </c>
      <c r="B2164" s="716" t="s">
        <v>96</v>
      </c>
      <c r="C2164" s="716" t="s">
        <v>842</v>
      </c>
      <c r="D2164" s="716"/>
    </row>
    <row r="2165" spans="1:4">
      <c r="A2165" s="715">
        <f>IF(ster!$A$1=1,names!B2165,IF(ster!$A$1=2,names!C2165))</f>
        <v>0</v>
      </c>
      <c r="B2165" s="716"/>
      <c r="C2165" s="716"/>
      <c r="D2165" s="716"/>
    </row>
    <row r="2166" spans="1:4">
      <c r="A2166" s="715" t="str">
        <f>IF(ster!$A$1=1,names!B2166,IF(ster!$A$1=2,names!C2166))</f>
        <v>Średnie kursy walut  6)</v>
      </c>
      <c r="B2166" s="716" t="s">
        <v>1780</v>
      </c>
      <c r="C2166" s="716" t="s">
        <v>1781</v>
      </c>
      <c r="D2166" s="716"/>
    </row>
    <row r="2167" spans="1:4">
      <c r="A2167" s="715" t="str">
        <f>IF(ster!$A$1=1,names!B2167,IF(ster!$A$1=2,names!C2167))</f>
        <v>USD/PLN</v>
      </c>
      <c r="B2167" s="716" t="s">
        <v>133</v>
      </c>
      <c r="C2167" s="716" t="s">
        <v>133</v>
      </c>
      <c r="D2167" s="716"/>
    </row>
    <row r="2168" spans="1:4">
      <c r="A2168" s="715" t="str">
        <f>IF(ster!$A$1=1,names!B2168,IF(ster!$A$1=2,names!C2168))</f>
        <v>EUR/PLN</v>
      </c>
      <c r="B2168" s="716" t="s">
        <v>134</v>
      </c>
      <c r="C2168" s="716" t="s">
        <v>134</v>
      </c>
      <c r="D2168" s="716"/>
    </row>
    <row r="2169" spans="1:4">
      <c r="A2169" s="715" t="str">
        <f>IF(ster!$A$1=1,names!B2169,IF(ster!$A$1=2,names!C2169))</f>
        <v>NOK/PLN</v>
      </c>
      <c r="B2169" s="716" t="s">
        <v>1744</v>
      </c>
      <c r="C2169" s="716" t="s">
        <v>1744</v>
      </c>
      <c r="D2169" s="716"/>
    </row>
    <row r="2170" spans="1:4">
      <c r="A2170" s="715" t="str">
        <f>IF(ster!$A$1=1,names!B2170,IF(ster!$A$1=2,names!C2170))</f>
        <v>EUR/USD</v>
      </c>
      <c r="B2170" s="716" t="s">
        <v>774</v>
      </c>
      <c r="C2170" s="716" t="s">
        <v>774</v>
      </c>
      <c r="D2170" s="716"/>
    </row>
    <row r="2171" spans="1:4">
      <c r="A2171" s="715">
        <f>IF(ster!$A$1=1,names!B2171,IF(ster!$A$1=2,names!C2171))</f>
        <v>0</v>
      </c>
      <c r="B2171" s="716"/>
      <c r="C2171" s="716"/>
      <c r="D2171" s="716"/>
    </row>
    <row r="2172" spans="1:4" ht="48">
      <c r="A2172" s="715" t="str">
        <f>IF(ster!$A$1=1,names!B2172,IF(ster!$A$1=2,names!C2172))</f>
        <v>1) Modelowa marża rafineryjna = przychody (33% Benzyna + 48% Olej Napędowy + 13% COO) – koszty (98% Ropa Brent + 2% Gaz ziemny). Notowania spot.</v>
      </c>
      <c r="B2172" s="716" t="s">
        <v>1765</v>
      </c>
      <c r="C2172" s="716" t="s">
        <v>1771</v>
      </c>
      <c r="D2172" s="716"/>
    </row>
    <row r="2173" spans="1:4" ht="32.25">
      <c r="A2173" s="715" t="str">
        <f>IF(ster!$A$1=1,names!B2173,IF(ster!$A$1=2,names!C2173))</f>
        <v>2) Dyferencjał liczony na bazie rzeczywistego udziału przerobionych rop. Notowania spot.</v>
      </c>
      <c r="B2173" s="716" t="s">
        <v>1766</v>
      </c>
      <c r="C2173" s="716" t="s">
        <v>1770</v>
      </c>
      <c r="D2173" s="716"/>
    </row>
    <row r="2174" spans="1:4" ht="79.5">
      <c r="A2174" s="715" t="str">
        <f>IF(ster!$A$1=1,names!B2174,IF(ster!$A$1=2,names!C2174))</f>
        <v>3) Modelowa Marża Petrochemiczna = przychody (25% HDPE [Spot] + 16% PP Homo [Spot] + 9% Etylen [kontrakt] + 7% Toluen [kontrakt] + 14% Benzen [kontrakt]) – koszty (75% Nafta + 13% COO + 13% LPG [Spot]) - 6% koszty CO2 [EUA].</v>
      </c>
      <c r="B2174" s="716" t="s">
        <v>1787</v>
      </c>
      <c r="C2174" s="716" t="s">
        <v>1849</v>
      </c>
      <c r="D2174" s="716"/>
    </row>
    <row r="2175" spans="1:4" ht="63.75">
      <c r="A2175" s="715" t="str">
        <f>IF(ster!$A$1=1,names!B2175,IF(ster!$A$1=2,names!C2175))</f>
        <v>4) Marże (crack) dla produktów rafineryjnych i petrochemicznych (z wyjątkiem polimerów) wyliczone jako różnica pomiędzy notowaniem danego produktu a notowaniem ropy Brent DTD.</v>
      </c>
      <c r="B2175" s="716" t="s">
        <v>1767</v>
      </c>
      <c r="C2175" s="716" t="s">
        <v>1785</v>
      </c>
      <c r="D2175" s="716"/>
    </row>
    <row r="2176" spans="1:4" ht="32.25">
      <c r="A2176" s="715" t="str">
        <f>IF(ster!$A$1=1,names!B2176,IF(ster!$A$1=2,names!C2176))</f>
        <v>5) Marża (crack) dla polimerów wyliczona jako różnica pomiędzy notowaniami polimerów a notowaniami monomerów.</v>
      </c>
      <c r="B2176" s="716" t="s">
        <v>1768</v>
      </c>
      <c r="C2176" s="716" t="s">
        <v>1786</v>
      </c>
      <c r="D2176" s="716"/>
    </row>
    <row r="2177" spans="1:4" ht="32.25">
      <c r="A2177" s="715" t="str">
        <f>IF(ster!$A$1=1,names!B2177,IF(ster!$A$1=2,names!C2177))</f>
        <v>6) Kursy średnie wg danych Narodowego Banku Polskiego i Europejskiego Banku Centralnego.</v>
      </c>
      <c r="B2177" s="716" t="s">
        <v>1788</v>
      </c>
      <c r="C2177" s="716" t="s">
        <v>1789</v>
      </c>
      <c r="D2177" s="716"/>
    </row>
    <row r="2178" spans="1:4">
      <c r="A2178" s="715">
        <f>IF(ster!$A$1=1,names!B2178,IF(ster!$A$1=2,names!C2178))</f>
        <v>0</v>
      </c>
      <c r="B2178" s="716"/>
      <c r="C2178" s="716"/>
      <c r="D2178" s="716"/>
    </row>
    <row r="2179" spans="1:4">
      <c r="A2179" s="715" t="str">
        <f>IF(ster!$A$1=1,names!B2179,IF(ster!$A$1=2,names!C2179))</f>
        <v>Konsumpcja *</v>
      </c>
      <c r="B2179" s="716" t="s">
        <v>1822</v>
      </c>
      <c r="C2179" s="716" t="s">
        <v>1989</v>
      </c>
      <c r="D2179" s="716"/>
    </row>
    <row r="2180" spans="1:4">
      <c r="A2180" s="715" t="str">
        <f>IF(ster!$A$1=1,names!B2180,IF(ster!$A$1=2,names!C2180))</f>
        <v>Wyszczególnienie</v>
      </c>
      <c r="B2180" s="716" t="s">
        <v>16</v>
      </c>
      <c r="C2180" s="716" t="s">
        <v>825</v>
      </c>
      <c r="D2180" s="716"/>
    </row>
    <row r="2181" spans="1:4">
      <c r="A2181" s="715" t="str">
        <f>IF(ster!$A$1=1,names!B2181,IF(ster!$A$1=2,names!C2181))</f>
        <v>Polska</v>
      </c>
      <c r="B2181" s="716" t="s">
        <v>10</v>
      </c>
      <c r="C2181" s="716" t="s">
        <v>1820</v>
      </c>
      <c r="D2181" s="716"/>
    </row>
    <row r="2182" spans="1:4">
      <c r="A2182" s="715" t="str">
        <f>IF(ster!$A$1=1,names!B2182,IF(ster!$A$1=2,names!C2182))</f>
        <v>Benzyny (tys. ton)</v>
      </c>
      <c r="B2182" s="716" t="s">
        <v>1791</v>
      </c>
      <c r="C2182" s="808" t="s">
        <v>1794</v>
      </c>
      <c r="D2182" s="808"/>
    </row>
    <row r="2183" spans="1:4">
      <c r="A2183" s="715" t="str">
        <f>IF(ster!$A$1=1,names!B2183,IF(ster!$A$1=2,names!C2183))</f>
        <v>ON (tys. ton)</v>
      </c>
      <c r="B2183" s="716" t="s">
        <v>1792</v>
      </c>
      <c r="C2183" s="808" t="s">
        <v>1795</v>
      </c>
      <c r="D2183" s="808"/>
    </row>
    <row r="2184" spans="1:4">
      <c r="A2184" s="715" t="str">
        <f>IF(ster!$A$1=1,names!B2184,IF(ster!$A$1=2,names!C2184))</f>
        <v>Produkcja energii ogółem (GWh)</v>
      </c>
      <c r="B2184" s="716" t="s">
        <v>1790</v>
      </c>
      <c r="C2184" s="716" t="s">
        <v>1796</v>
      </c>
      <c r="D2184" s="716"/>
    </row>
    <row r="2185" spans="1:4">
      <c r="A2185" s="715" t="str">
        <f>IF(ster!$A$1=1,names!B2185,IF(ster!$A$1=2,names!C2185))</f>
        <v>Krajowe zużycie energii elektrycznej (GWh)</v>
      </c>
      <c r="B2185" s="716" t="s">
        <v>1793</v>
      </c>
      <c r="C2185" s="716" t="s">
        <v>1797</v>
      </c>
      <c r="D2185" s="716"/>
    </row>
    <row r="2186" spans="1:4">
      <c r="A2186" s="715" t="str">
        <f>IF(ster!$A$1=1,names!B2186,IF(ster!$A$1=2,names!C2186))</f>
        <v>Konsumpcja (gaz wysokometanowy) (GWh)</v>
      </c>
      <c r="B2186" s="716" t="s">
        <v>1917</v>
      </c>
      <c r="C2186" s="716" t="s">
        <v>1918</v>
      </c>
      <c r="D2186" s="716"/>
    </row>
    <row r="2187" spans="1:4">
      <c r="A2187" s="715" t="str">
        <f>IF(ster!$A$1=1,names!B2187,IF(ster!$A$1=2,names!C2187))</f>
        <v>Pozostałe kraje Grupy ORLEN</v>
      </c>
      <c r="B2187" s="716" t="s">
        <v>1854</v>
      </c>
      <c r="C2187" s="716" t="s">
        <v>1821</v>
      </c>
      <c r="D2187" s="716"/>
    </row>
    <row r="2188" spans="1:4" ht="79.5">
      <c r="A2188" s="715" t="str">
        <f>IF(ster!$A$1=1,names!B2188,IF(ster!$A$1=2,names!C2188))</f>
        <v>*) Szacunki własne opracowane na bazie dostępnych danych Agencji Rynku Energii S.A., Litewskiego Urzędu Statystycznego, Czeskiego Urzędu Statystycznego, Niemieckiego Stowarzyszenia Przemysłu Naftowego, Polskich Sieci Elektroenergetycznych oraz danych Eurostat, Dane operatorów systemów przesyłowych.</v>
      </c>
      <c r="B2188" s="716" t="s">
        <v>1856</v>
      </c>
      <c r="C2188" s="716" t="s">
        <v>1855</v>
      </c>
      <c r="D2188" s="716"/>
    </row>
    <row r="2189" spans="1:4">
      <c r="A2189" s="715">
        <f>IF(ster!$A$1=1,names!B2189,IF(ster!$A$1=2,names!C2189))</f>
        <v>0</v>
      </c>
      <c r="B2189" s="716"/>
      <c r="C2189" s="716"/>
      <c r="D2189" s="716"/>
    </row>
    <row r="2190" spans="1:4">
      <c r="A2190" s="715" t="str">
        <f>IF(ster!$A$1=1,names!B2190,IF(ster!$A$1=2,names!C2190))</f>
        <v>Sprzedaż rafineryjna</v>
      </c>
      <c r="B2190" s="716" t="s">
        <v>1806</v>
      </c>
      <c r="C2190" s="716" t="s">
        <v>1808</v>
      </c>
      <c r="D2190" s="716"/>
    </row>
    <row r="2191" spans="1:4">
      <c r="A2191" s="715" t="str">
        <f>IF(ster!$A$1=1,names!B2191,IF(ster!$A$1=2,names!C2191))</f>
        <v>Sprzedaż petrochemiczna</v>
      </c>
      <c r="B2191" s="716" t="s">
        <v>1807</v>
      </c>
      <c r="C2191" s="716" t="s">
        <v>1809</v>
      </c>
      <c r="D2191" s="716"/>
    </row>
    <row r="2192" spans="1:4" ht="48">
      <c r="A2192" s="715" t="str">
        <f>IF(ster!$A$1=1,names!B2192,IF(ster!$A$1=2,names!C2192))</f>
        <v>Wydatki z tytułu objęcia kontroli nad jednostkami zależnymi i przedsięwzięciami pomniejszone o środki pieniężne w nabytych jednostkach zależnych i przedsięwzięciach</v>
      </c>
      <c r="B2192" s="716" t="s">
        <v>1829</v>
      </c>
      <c r="C2192" s="716" t="s">
        <v>1830</v>
      </c>
      <c r="D2192" s="716"/>
    </row>
    <row r="2193" spans="1:4">
      <c r="A2193" s="715" t="str">
        <f>IF(ster!$A$1=1,names!B2193,IF(ster!$A$1=2,names!C2193))</f>
        <v>Emisja obligacji</v>
      </c>
      <c r="B2193" s="716" t="s">
        <v>273</v>
      </c>
      <c r="C2193" s="716" t="s">
        <v>1831</v>
      </c>
      <c r="D2193" s="716"/>
    </row>
    <row r="2194" spans="1:4">
      <c r="A2194" s="715" t="str">
        <f>IF(ster!$A$1=1,names!B2194,IF(ster!$A$1=2,names!C2194))</f>
        <v>Wybrane dane operacyjne segmentu Upstream&amp;Supply i Energy</v>
      </c>
      <c r="B2194" s="716" t="s">
        <v>1869</v>
      </c>
      <c r="C2194" s="716" t="s">
        <v>1811</v>
      </c>
      <c r="D2194" s="716"/>
    </row>
    <row r="2195" spans="1:4" ht="32.25">
      <c r="A2195" s="715" t="str">
        <f>IF(ster!$A$1=1,names!B2195,IF(ster!$A$1=2,names!C2195))</f>
        <v xml:space="preserve">(Strata)/odwrócenie straty z tytułu utraty wartości pozostałych aktywów finansowych </v>
      </c>
      <c r="B2195" s="716" t="s">
        <v>1919</v>
      </c>
      <c r="C2195" s="716" t="s">
        <v>1920</v>
      </c>
      <c r="D2195" s="716"/>
    </row>
    <row r="2196" spans="1:4">
      <c r="A2196" s="715">
        <f>IF(ster!$A$1=1,names!B2196,IF(ster!$A$1=2,names!C2196))</f>
        <v>0</v>
      </c>
      <c r="B2196" s="716"/>
      <c r="C2196" s="716"/>
      <c r="D2196" s="716"/>
    </row>
    <row r="2197" spans="1:4" ht="32.25">
      <c r="A2197" s="715" t="str">
        <f>IF(ster!$A$1=1,names!B2197,IF(ster!$A$1=2,names!C2197))</f>
        <v>Sprzedaż
(tys. ton)</v>
      </c>
      <c r="B2197" s="716" t="s">
        <v>1909</v>
      </c>
      <c r="C2197" s="716" t="s">
        <v>1921</v>
      </c>
      <c r="D2197" s="716"/>
    </row>
    <row r="2198" spans="1:4">
      <c r="A2198" s="715" t="str">
        <f>IF(ster!$A$1=1,names!B2198,IF(ster!$A$1=2,names!C2198))</f>
        <v>Downstream, w tym:</v>
      </c>
      <c r="B2198" s="716" t="s">
        <v>1737</v>
      </c>
      <c r="C2198" s="716" t="s">
        <v>1922</v>
      </c>
      <c r="D2198" s="716"/>
    </row>
    <row r="2199" spans="1:4">
      <c r="A2199" s="715" t="str">
        <f>IF(ster!$A$1=1,names!B2199,IF(ster!$A$1=2,names!C2199))</f>
        <v>Benzyna</v>
      </c>
      <c r="B2199" s="716" t="s">
        <v>98</v>
      </c>
      <c r="C2199" s="716" t="s">
        <v>832</v>
      </c>
      <c r="D2199" s="716"/>
    </row>
    <row r="2200" spans="1:4">
      <c r="A2200" s="715" t="str">
        <f>IF(ster!$A$1=1,names!B2200,IF(ster!$A$1=2,names!C2200))</f>
        <v>ON</v>
      </c>
      <c r="B2200" s="716" t="s">
        <v>12</v>
      </c>
      <c r="C2200" s="716" t="s">
        <v>1924</v>
      </c>
      <c r="D2200" s="716"/>
    </row>
    <row r="2201" spans="1:4">
      <c r="A2201" s="715" t="str">
        <f>IF(ster!$A$1=1,names!B2201,IF(ster!$A$1=2,names!C2201))</f>
        <v>LPG</v>
      </c>
      <c r="B2201" s="716" t="s">
        <v>94</v>
      </c>
      <c r="C2201" s="716" t="s">
        <v>94</v>
      </c>
      <c r="D2201" s="716"/>
    </row>
    <row r="2202" spans="1:4">
      <c r="A2202" s="715" t="str">
        <f>IF(ster!$A$1=1,names!B2202,IF(ster!$A$1=2,names!C2202))</f>
        <v>Paliwo JET</v>
      </c>
      <c r="B2202" s="716" t="s">
        <v>1903</v>
      </c>
      <c r="C2202" s="716" t="s">
        <v>1925</v>
      </c>
      <c r="D2202" s="716"/>
    </row>
    <row r="2203" spans="1:4">
      <c r="A2203" s="715" t="str">
        <f>IF(ster!$A$1=1,names!B2203,IF(ster!$A$1=2,names!C2203))</f>
        <v>COO</v>
      </c>
      <c r="B2203" s="716" t="s">
        <v>1904</v>
      </c>
      <c r="C2203" s="716" t="s">
        <v>836</v>
      </c>
      <c r="D2203" s="716"/>
    </row>
    <row r="2204" spans="1:4">
      <c r="A2204" s="715" t="str">
        <f>IF(ster!$A$1=1,names!B2204,IF(ster!$A$1=2,names!C2204))</f>
        <v>Olefiny</v>
      </c>
      <c r="B2204" s="716" t="s">
        <v>1905</v>
      </c>
      <c r="C2204" s="716" t="s">
        <v>1926</v>
      </c>
      <c r="D2204" s="716"/>
    </row>
    <row r="2205" spans="1:4">
      <c r="A2205" s="715" t="str">
        <f>IF(ster!$A$1=1,names!B2205,IF(ster!$A$1=2,names!C2205))</f>
        <v>Poliolefiny</v>
      </c>
      <c r="B2205" s="716" t="s">
        <v>1906</v>
      </c>
      <c r="C2205" s="716" t="s">
        <v>1927</v>
      </c>
      <c r="D2205" s="716"/>
    </row>
    <row r="2206" spans="1:4">
      <c r="A2206" s="715" t="str">
        <f>IF(ster!$A$1=1,names!B2206,IF(ster!$A$1=2,names!C2206))</f>
        <v>Nawozy</v>
      </c>
      <c r="B2206" s="716" t="s">
        <v>1890</v>
      </c>
      <c r="C2206" s="716" t="s">
        <v>1928</v>
      </c>
      <c r="D2206" s="716"/>
    </row>
    <row r="2207" spans="1:4">
      <c r="A2207" s="715" t="str">
        <f>IF(ster!$A$1=1,names!B2207,IF(ster!$A$1=2,names!C2207))</f>
        <v>PCW</v>
      </c>
      <c r="B2207" s="716" t="s">
        <v>1907</v>
      </c>
      <c r="C2207" s="716" t="s">
        <v>1929</v>
      </c>
      <c r="D2207" s="716"/>
    </row>
    <row r="2208" spans="1:4">
      <c r="A2208" s="715" t="str">
        <f>IF(ster!$A$1=1,names!B2208,IF(ster!$A$1=2,names!C2208))</f>
        <v>PTA</v>
      </c>
      <c r="B2208" s="716" t="s">
        <v>89</v>
      </c>
      <c r="C2208" s="716" t="s">
        <v>89</v>
      </c>
      <c r="D2208" s="716"/>
    </row>
    <row r="2209" spans="1:4">
      <c r="A2209" s="715" t="str">
        <f>IF(ster!$A$1=1,names!B2209,IF(ster!$A$1=2,names!C2209))</f>
        <v>Pozostałe</v>
      </c>
      <c r="B2209" s="716" t="s">
        <v>47</v>
      </c>
      <c r="C2209" s="716" t="s">
        <v>935</v>
      </c>
      <c r="D2209" s="716"/>
    </row>
    <row r="2210" spans="1:4">
      <c r="A2210" s="715">
        <f>IF(ster!$A$1=1,names!B2210,IF(ster!$A$1=2,names!C2210))</f>
        <v>0</v>
      </c>
      <c r="B2210" s="716"/>
      <c r="C2210" s="716"/>
      <c r="D2210" s="716"/>
    </row>
    <row r="2211" spans="1:4">
      <c r="A2211" s="715" t="str">
        <f>IF(ster!$A$1=1,names!B2211,IF(ster!$A$1=2,names!C2211))</f>
        <v>Consumers &amp; Products, w tym:</v>
      </c>
      <c r="B2211" s="716" t="s">
        <v>1908</v>
      </c>
      <c r="C2211" s="716" t="s">
        <v>1923</v>
      </c>
      <c r="D2211" s="716"/>
    </row>
    <row r="2212" spans="1:4">
      <c r="A2212" s="715" t="str">
        <f>IF(ster!$A$1=1,names!B2212,IF(ster!$A$1=2,names!C2212))</f>
        <v>Benzyna</v>
      </c>
      <c r="B2212" s="716" t="s">
        <v>98</v>
      </c>
      <c r="C2212" s="716" t="s">
        <v>832</v>
      </c>
      <c r="D2212" s="716"/>
    </row>
    <row r="2213" spans="1:4">
      <c r="A2213" s="715" t="str">
        <f>IF(ster!$A$1=1,names!B2213,IF(ster!$A$1=2,names!C2213))</f>
        <v>ON</v>
      </c>
      <c r="B2213" s="716" t="s">
        <v>12</v>
      </c>
      <c r="C2213" s="716" t="s">
        <v>1924</v>
      </c>
      <c r="D2213" s="716"/>
    </row>
    <row r="2214" spans="1:4">
      <c r="A2214" s="715" t="str">
        <f>IF(ster!$A$1=1,names!B2214,IF(ster!$A$1=2,names!C2214))</f>
        <v>LPG</v>
      </c>
      <c r="B2214" s="716" t="s">
        <v>94</v>
      </c>
      <c r="C2214" s="716" t="s">
        <v>94</v>
      </c>
      <c r="D2214" s="716"/>
    </row>
    <row r="2215" spans="1:4">
      <c r="A2215" s="715" t="str">
        <f>IF(ster!$A$1=1,names!B2215,IF(ster!$A$1=2,names!C2215))</f>
        <v>Pozostałe</v>
      </c>
      <c r="B2215" s="716" t="s">
        <v>47</v>
      </c>
      <c r="C2215" s="716" t="s">
        <v>935</v>
      </c>
      <c r="D2215" s="716"/>
    </row>
    <row r="2216" spans="1:4">
      <c r="A2216" s="715">
        <f>IF(ster!$A$1=1,names!B2216,IF(ster!$A$1=2,names!C2216))</f>
        <v>0</v>
      </c>
      <c r="B2216" s="716"/>
      <c r="C2216" s="716"/>
      <c r="D2216" s="716"/>
    </row>
    <row r="2217" spans="1:4">
      <c r="A2217" s="715" t="str">
        <f>IF(ster!$A$1=1,names!B2217,IF(ster!$A$1=2,names!C2217))</f>
        <v>Produkcja Downstream</v>
      </c>
      <c r="B2217" s="716" t="s">
        <v>1910</v>
      </c>
      <c r="C2217" s="716" t="s">
        <v>1930</v>
      </c>
      <c r="D2217" s="716"/>
    </row>
    <row r="2218" spans="1:4">
      <c r="A2218" s="715" t="str">
        <f>IF(ster!$A$1=1,names!B2218,IF(ster!$A$1=2,names!C2218))</f>
        <v>Przerób ropy w Grupie ORLEN (tys.t)</v>
      </c>
      <c r="B2218" s="716" t="s">
        <v>1895</v>
      </c>
      <c r="C2218" s="716" t="s">
        <v>1931</v>
      </c>
      <c r="D2218" s="716"/>
    </row>
    <row r="2219" spans="1:4">
      <c r="A2219" s="715" t="str">
        <f>IF(ster!$A$1=1,names!B2219,IF(ster!$A$1=2,names!C2219))</f>
        <v>Wykorzystanie mocy przerobowych</v>
      </c>
      <c r="B2219" s="716" t="s">
        <v>1991</v>
      </c>
      <c r="C2219" s="716" t="s">
        <v>1992</v>
      </c>
      <c r="D2219" s="716"/>
    </row>
    <row r="2220" spans="1:4">
      <c r="A2220" s="715" t="str">
        <f>IF(ster!$A$1=1,names!B2220,IF(ster!$A$1=2,names!C2220))</f>
        <v>Przerób ropy w ORLEN S.A. (tys.t)</v>
      </c>
      <c r="B2220" s="716" t="s">
        <v>1896</v>
      </c>
      <c r="C2220" s="716" t="s">
        <v>1932</v>
      </c>
      <c r="D2220" s="716"/>
    </row>
    <row r="2221" spans="1:4">
      <c r="A2221" s="715" t="str">
        <f>IF(ster!$A$1=1,names!B2221,IF(ster!$A$1=2,names!C2221))</f>
        <v>Wykorzystanie mocy przerobowych</v>
      </c>
      <c r="B2221" s="716" t="s">
        <v>1991</v>
      </c>
      <c r="C2221" s="716" t="s">
        <v>1992</v>
      </c>
      <c r="D2221" s="716"/>
    </row>
    <row r="2222" spans="1:4">
      <c r="A2222" s="715" t="str">
        <f>IF(ster!$A$1=1,names!B2222,IF(ster!$A$1=2,names!C2222))</f>
        <v>Uzysk produktów białych</v>
      </c>
      <c r="B2222" s="716" t="s">
        <v>1990</v>
      </c>
      <c r="C2222" s="716" t="s">
        <v>1993</v>
      </c>
      <c r="D2222" s="716"/>
    </row>
    <row r="2223" spans="1:4">
      <c r="A2223" s="715" t="str">
        <f>IF(ster!$A$1=1,names!B2223,IF(ster!$A$1=2,names!C2223))</f>
        <v>Uzysk paliw (%), w tym:</v>
      </c>
      <c r="B2223" s="716" t="s">
        <v>1901</v>
      </c>
      <c r="C2223" s="716" t="s">
        <v>1933</v>
      </c>
      <c r="D2223" s="716"/>
    </row>
    <row r="2224" spans="1:4">
      <c r="A2224" s="715" t="str">
        <f>IF(ster!$A$1=1,names!B2224,IF(ster!$A$1=2,names!C2224))</f>
        <v>Uzysk lekkich destylatów (%)</v>
      </c>
      <c r="B2224" s="716" t="s">
        <v>1899</v>
      </c>
      <c r="C2224" s="716" t="s">
        <v>1934</v>
      </c>
      <c r="D2224" s="716"/>
    </row>
    <row r="2225" spans="1:4">
      <c r="A2225" s="715" t="str">
        <f>IF(ster!$A$1=1,names!B2225,IF(ster!$A$1=2,names!C2225))</f>
        <v>Uzysk średnich destylatów (%)</v>
      </c>
      <c r="B2225" s="716" t="s">
        <v>1900</v>
      </c>
      <c r="C2225" s="716" t="s">
        <v>1935</v>
      </c>
      <c r="D2225" s="716"/>
    </row>
    <row r="2226" spans="1:4">
      <c r="A2226" s="715" t="str">
        <f>IF(ster!$A$1=1,names!B2226,IF(ster!$A$1=2,names!C2226))</f>
        <v>Przerób ropy w Unipetrolu (tys.t)</v>
      </c>
      <c r="B2226" s="716" t="s">
        <v>1897</v>
      </c>
      <c r="C2226" s="716" t="s">
        <v>1936</v>
      </c>
      <c r="D2226" s="716"/>
    </row>
    <row r="2227" spans="1:4">
      <c r="A2227" s="715" t="str">
        <f>IF(ster!$A$1=1,names!B2227,IF(ster!$A$1=2,names!C2227))</f>
        <v>Wykorzystanie mocy przerobowych</v>
      </c>
      <c r="B2227" s="716" t="s">
        <v>1991</v>
      </c>
      <c r="C2227" s="716" t="s">
        <v>1992</v>
      </c>
      <c r="D2227" s="716"/>
    </row>
    <row r="2228" spans="1:4">
      <c r="A2228" s="715" t="str">
        <f>IF(ster!$A$1=1,names!B2228,IF(ster!$A$1=2,names!C2228))</f>
        <v>Uzysk paliw (%), w tym:</v>
      </c>
      <c r="B2228" s="716" t="s">
        <v>1901</v>
      </c>
      <c r="C2228" s="716" t="s">
        <v>1933</v>
      </c>
      <c r="D2228" s="716"/>
    </row>
    <row r="2229" spans="1:4">
      <c r="A2229" s="715" t="str">
        <f>IF(ster!$A$1=1,names!B2229,IF(ster!$A$1=2,names!C2229))</f>
        <v>Uzysk lekkich destylatów (%)</v>
      </c>
      <c r="B2229" s="716" t="s">
        <v>1899</v>
      </c>
      <c r="C2229" s="716" t="s">
        <v>1934</v>
      </c>
      <c r="D2229" s="716"/>
    </row>
    <row r="2230" spans="1:4">
      <c r="A2230" s="715" t="str">
        <f>IF(ster!$A$1=1,names!B2230,IF(ster!$A$1=2,names!C2230))</f>
        <v>Uzysk średnich destylatów (%)</v>
      </c>
      <c r="B2230" s="716" t="s">
        <v>1900</v>
      </c>
      <c r="C2230" s="716" t="s">
        <v>1935</v>
      </c>
      <c r="D2230" s="716"/>
    </row>
    <row r="2231" spans="1:4">
      <c r="A2231" s="715" t="str">
        <f>IF(ster!$A$1=1,names!B2231,IF(ster!$A$1=2,names!C2231))</f>
        <v>Przerób ropy w ORLEN Lietuva (tys.t)</v>
      </c>
      <c r="B2231" s="716" t="s">
        <v>1898</v>
      </c>
      <c r="C2231" s="716" t="s">
        <v>1937</v>
      </c>
      <c r="D2231" s="716"/>
    </row>
    <row r="2232" spans="1:4">
      <c r="A2232" s="715" t="str">
        <f>IF(ster!$A$1=1,names!B2232,IF(ster!$A$1=2,names!C2232))</f>
        <v>Wykorzystanie mocy przerobowych</v>
      </c>
      <c r="B2232" s="716" t="s">
        <v>1991</v>
      </c>
      <c r="C2232" s="716" t="s">
        <v>1992</v>
      </c>
      <c r="D2232" s="716"/>
    </row>
    <row r="2233" spans="1:4">
      <c r="A2233" s="715" t="str">
        <f>IF(ster!$A$1=1,names!B2233,IF(ster!$A$1=2,names!C2233))</f>
        <v>Uzysk paliw (%), w tym:</v>
      </c>
      <c r="B2233" s="716" t="s">
        <v>1901</v>
      </c>
      <c r="C2233" s="716" t="s">
        <v>1933</v>
      </c>
      <c r="D2233" s="716"/>
    </row>
    <row r="2234" spans="1:4">
      <c r="A2234" s="715" t="str">
        <f>IF(ster!$A$1=1,names!B2234,IF(ster!$A$1=2,names!C2234))</f>
        <v>Uzysk lekkich destylatów (%)</v>
      </c>
      <c r="B2234" s="716" t="s">
        <v>1899</v>
      </c>
      <c r="C2234" s="716" t="s">
        <v>1934</v>
      </c>
      <c r="D2234" s="716"/>
    </row>
    <row r="2235" spans="1:4">
      <c r="A2235" s="715" t="str">
        <f>IF(ster!$A$1=1,names!B2235,IF(ster!$A$1=2,names!C2235))</f>
        <v>Uzysk średnich destylatów (%)</v>
      </c>
      <c r="B2235" s="716" t="s">
        <v>1900</v>
      </c>
      <c r="C2235" s="716" t="s">
        <v>1935</v>
      </c>
      <c r="D2235" s="716"/>
    </row>
    <row r="2236" spans="1:4">
      <c r="A2236" s="715">
        <f>IF(ster!$A$1=1,names!B2236,IF(ster!$A$1=2,names!C2236))</f>
        <v>0</v>
      </c>
      <c r="B2236" s="716"/>
      <c r="C2236" s="716"/>
      <c r="D2236" s="716"/>
    </row>
    <row r="2237" spans="1:4">
      <c r="A2237" s="715">
        <f>IF(ster!$A$1=1,names!B2237,IF(ster!$A$1=2,names!C2237))</f>
        <v>0</v>
      </c>
      <c r="B2237" s="716"/>
      <c r="C2237" s="716"/>
      <c r="D2237" s="716"/>
    </row>
    <row r="2238" spans="1:4" ht="32.25">
      <c r="A2238" s="715" t="str">
        <f>IF(ster!$A$1=1,names!B2238,IF(ster!$A$1=2,names!C2238))</f>
        <v>Instalacje petrochemiczne
(wykorzystanie mocy)</v>
      </c>
      <c r="B2238" s="716" t="s">
        <v>1911</v>
      </c>
      <c r="C2238" s="716" t="s">
        <v>1938</v>
      </c>
      <c r="D2238" s="716"/>
    </row>
    <row r="2239" spans="1:4">
      <c r="A2239" s="715" t="str">
        <f>IF(ster!$A$1=1,names!B2239,IF(ster!$A$1=2,names!C2239))</f>
        <v>Olefiny (Płock)</v>
      </c>
      <c r="B2239" s="716" t="s">
        <v>1888</v>
      </c>
      <c r="C2239" s="716" t="s">
        <v>1939</v>
      </c>
      <c r="D2239" s="716"/>
    </row>
    <row r="2240" spans="1:4" ht="26.1" customHeight="1">
      <c r="A2240" s="715" t="str">
        <f>IF(ster!$A$1=1,names!B2240,IF(ster!$A$1=2,names!C2240))</f>
        <v>BOP (Płock)</v>
      </c>
      <c r="B2240" s="716" t="s">
        <v>1889</v>
      </c>
      <c r="C2240" s="716" t="s">
        <v>1889</v>
      </c>
      <c r="D2240" s="716"/>
    </row>
    <row r="2241" spans="1:4">
      <c r="A2241" s="715" t="str">
        <f>IF(ster!$A$1=1,names!B2241,IF(ster!$A$1=2,names!C2241))</f>
        <v>Nawozy (Włocławek)</v>
      </c>
      <c r="B2241" s="716" t="s">
        <v>1902</v>
      </c>
      <c r="C2241" s="716" t="s">
        <v>1940</v>
      </c>
      <c r="D2241" s="716"/>
    </row>
    <row r="2242" spans="1:4">
      <c r="A2242" s="715" t="str">
        <f>IF(ster!$A$1=1,names!B2242,IF(ster!$A$1=2,names!C2242))</f>
        <v>PCW (Włocławek)</v>
      </c>
      <c r="B2242" s="716" t="s">
        <v>1891</v>
      </c>
      <c r="C2242" s="716" t="s">
        <v>1941</v>
      </c>
      <c r="D2242" s="716"/>
    </row>
    <row r="2243" spans="1:4">
      <c r="A2243" s="715" t="str">
        <f>IF(ster!$A$1=1,names!B2243,IF(ster!$A$1=2,names!C2243))</f>
        <v>PTA (Włocławek)</v>
      </c>
      <c r="B2243" s="716" t="s">
        <v>1892</v>
      </c>
      <c r="C2243" s="716" t="s">
        <v>1892</v>
      </c>
      <c r="D2243" s="716"/>
    </row>
    <row r="2244" spans="1:4">
      <c r="A2244" s="715" t="str">
        <f>IF(ster!$A$1=1,names!B2244,IF(ster!$A$1=2,names!C2244))</f>
        <v>Olefiny (Unipetrol)</v>
      </c>
      <c r="B2244" s="716" t="s">
        <v>1893</v>
      </c>
      <c r="C2244" s="716" t="s">
        <v>1942</v>
      </c>
      <c r="D2244" s="716"/>
    </row>
    <row r="2245" spans="1:4">
      <c r="A2245" s="715" t="str">
        <f>IF(ster!$A$1=1,names!B2245,IF(ster!$A$1=2,names!C2245))</f>
        <v>PPF Splitter (ORLEN Lietuva)</v>
      </c>
      <c r="B2245" s="716" t="s">
        <v>1894</v>
      </c>
      <c r="C2245" s="716" t="s">
        <v>1894</v>
      </c>
      <c r="D2245" s="716"/>
    </row>
    <row r="2246" spans="1:4">
      <c r="A2246" s="715">
        <f>IF(ster!$A$1=1,names!B2246,IF(ster!$A$1=2,names!C2246))</f>
        <v>0</v>
      </c>
      <c r="B2246" s="716"/>
      <c r="C2246" s="716"/>
      <c r="D2246" s="716"/>
    </row>
    <row r="2247" spans="1:4" ht="32.25">
      <c r="A2247" s="715" t="str">
        <f>IF(ster!$A$1=1,names!B2247,IF(ster!$A$1=2,names!C2247))</f>
        <v>Skonsolidowane sprawozdanie z przepływów pieniężnych
(mln PLN)</v>
      </c>
      <c r="B2247" s="716" t="s">
        <v>1887</v>
      </c>
      <c r="C2247" s="716" t="s">
        <v>1943</v>
      </c>
      <c r="D2247" s="716"/>
    </row>
    <row r="2248" spans="1:4" ht="32.25">
      <c r="A2248" s="715" t="str">
        <f>IF(ster!$A$1=1,names!B2248,IF(ster!$A$1=2,names!C2248))</f>
        <v>Skonsolidowane sprawozdanie z sytuacji finansowej
(mln PLN)</v>
      </c>
      <c r="B2248" s="716" t="s">
        <v>1916</v>
      </c>
      <c r="C2248" s="716" t="s">
        <v>1944</v>
      </c>
      <c r="D2248" s="716"/>
    </row>
    <row r="2249" spans="1:4" ht="48">
      <c r="A2249" s="715" t="str">
        <f>IF(ster!$A$1=1,names!B2249,IF(ster!$A$1=2,names!C2249))</f>
        <v>Skonsolidowane sprawozdanie z zysków lub strat i innych całkowitych dochodów
(mln PLN)</v>
      </c>
      <c r="B2249" s="716" t="s">
        <v>1886</v>
      </c>
      <c r="C2249" s="716" t="s">
        <v>1945</v>
      </c>
      <c r="D2249" s="716"/>
    </row>
    <row r="2250" spans="1:4">
      <c r="A2250" s="715">
        <f>IF(ster!$A$1=1,names!B2250,IF(ster!$A$1=2,names!C2250))</f>
        <v>0</v>
      </c>
      <c r="B2250" s="716"/>
      <c r="C2250" s="716"/>
      <c r="D2250" s="716"/>
    </row>
    <row r="2251" spans="1:4" ht="32.25">
      <c r="A2251" s="715" t="str">
        <f>IF(ster!$A$1=1,names!B2251,IF(ster!$A$1=2,names!C2251))</f>
        <v>Kluczowe dane finansowe
(mln PLN)</v>
      </c>
      <c r="B2251" s="716" t="s">
        <v>1877</v>
      </c>
      <c r="C2251" s="716" t="s">
        <v>1949</v>
      </c>
      <c r="D2251" s="716"/>
    </row>
    <row r="2252" spans="1:4">
      <c r="A2252" s="715" t="str">
        <f>IF(ster!$A$1=1,names!B2252,IF(ster!$A$1=2,names!C2252))</f>
        <v>Przychody ze sprzedaży</v>
      </c>
      <c r="B2252" s="716" t="s">
        <v>57</v>
      </c>
      <c r="C2252" s="716" t="s">
        <v>903</v>
      </c>
      <c r="D2252" s="716"/>
    </row>
    <row r="2253" spans="1:4">
      <c r="A2253" s="715" t="str">
        <f>IF(ster!$A$1=1,names!B2253,IF(ster!$A$1=2,names!C2253))</f>
        <v>EBITDA LIFO przed odpisami, w tym:</v>
      </c>
      <c r="B2253" s="716" t="s">
        <v>1882</v>
      </c>
      <c r="C2253" s="716" t="s">
        <v>1950</v>
      </c>
      <c r="D2253" s="716"/>
    </row>
    <row r="2254" spans="1:4">
      <c r="A2254" s="715" t="str">
        <f>IF(ster!$A$1=1,names!B2254,IF(ster!$A$1=2,names!C2254))</f>
        <v>Upstream &amp; Supply</v>
      </c>
      <c r="B2254" s="716" t="s">
        <v>1818</v>
      </c>
      <c r="C2254" s="716" t="s">
        <v>1818</v>
      </c>
      <c r="D2254" s="716"/>
    </row>
    <row r="2255" spans="1:4">
      <c r="A2255" s="715" t="str">
        <f>IF(ster!$A$1=1,names!B2255,IF(ster!$A$1=2,names!C2255))</f>
        <v>Downstream</v>
      </c>
      <c r="B2255" s="716" t="s">
        <v>1681</v>
      </c>
      <c r="C2255" s="716" t="s">
        <v>1681</v>
      </c>
      <c r="D2255" s="716"/>
    </row>
    <row r="2256" spans="1:4">
      <c r="A2256" s="715" t="str">
        <f>IF(ster!$A$1=1,names!B2256,IF(ster!$A$1=2,names!C2256))</f>
        <v>Energy</v>
      </c>
      <c r="B2256" s="716" t="s">
        <v>796</v>
      </c>
      <c r="C2256" s="716" t="s">
        <v>796</v>
      </c>
      <c r="D2256" s="716"/>
    </row>
    <row r="2257" spans="1:4">
      <c r="A2257" s="715" t="str">
        <f>IF(ster!$A$1=1,names!B2257,IF(ster!$A$1=2,names!C2257))</f>
        <v>Consumers &amp; Products</v>
      </c>
      <c r="B2257" s="716" t="s">
        <v>1871</v>
      </c>
      <c r="C2257" s="716" t="s">
        <v>1871</v>
      </c>
      <c r="D2257" s="716"/>
    </row>
    <row r="2258" spans="1:4">
      <c r="A2258" s="715" t="str">
        <f>IF(ster!$A$1=1,names!B2258,IF(ster!$A$1=2,names!C2258))</f>
        <v>Corporate functions1</v>
      </c>
      <c r="B2258" s="716" t="s">
        <v>1951</v>
      </c>
      <c r="C2258" s="716" t="s">
        <v>1951</v>
      </c>
      <c r="D2258" s="716"/>
    </row>
    <row r="2259" spans="1:4">
      <c r="A2259" s="715" t="str">
        <f>IF(ster!$A$1=1,names!B2259,IF(ster!$A$1=2,names!C2259))</f>
        <v>Odpisy aktualizujące wartość aktywów trwałych</v>
      </c>
      <c r="B2259" s="716" t="s">
        <v>1870</v>
      </c>
      <c r="C2259" s="716" t="s">
        <v>1952</v>
      </c>
      <c r="D2259" s="716"/>
    </row>
    <row r="2260" spans="1:4">
      <c r="A2260" s="715" t="str">
        <f>IF(ster!$A$1=1,names!B2260,IF(ster!$A$1=2,names!C2260))</f>
        <v>EBITDA LIFO</v>
      </c>
      <c r="B2260" s="716" t="s">
        <v>211</v>
      </c>
      <c r="C2260" s="716" t="s">
        <v>211</v>
      </c>
      <c r="D2260" s="716"/>
    </row>
    <row r="2261" spans="1:4">
      <c r="A2261" s="715" t="str">
        <f>IF(ster!$A$1=1,names!B2261,IF(ster!$A$1=2,names!C2261))</f>
        <v>Efekt LIFO</v>
      </c>
      <c r="B2261" s="716" t="s">
        <v>1873</v>
      </c>
      <c r="C2261" s="716" t="s">
        <v>1953</v>
      </c>
      <c r="D2261" s="716"/>
    </row>
    <row r="2262" spans="1:4">
      <c r="A2262" s="715" t="str">
        <f>IF(ster!$A$1=1,names!B2262,IF(ster!$A$1=2,names!C2262))</f>
        <v>EBITDA</v>
      </c>
      <c r="B2262" s="716" t="s">
        <v>1872</v>
      </c>
      <c r="C2262" s="716" t="s">
        <v>1872</v>
      </c>
      <c r="D2262" s="716"/>
    </row>
    <row r="2263" spans="1:4">
      <c r="A2263" s="715" t="str">
        <f>IF(ster!$A$1=1,names!B2263,IF(ster!$A$1=2,names!C2263))</f>
        <v>Amortyzacja</v>
      </c>
      <c r="B2263" s="716" t="s">
        <v>91</v>
      </c>
      <c r="C2263" s="716" t="s">
        <v>1954</v>
      </c>
      <c r="D2263" s="716"/>
    </row>
    <row r="2264" spans="1:4">
      <c r="A2264" s="715" t="str">
        <f>IF(ster!$A$1=1,names!B2264,IF(ster!$A$1=2,names!C2264))</f>
        <v>EBIT LIFO</v>
      </c>
      <c r="B2264" s="716" t="s">
        <v>272</v>
      </c>
      <c r="C2264" s="716" t="s">
        <v>272</v>
      </c>
      <c r="D2264" s="716"/>
    </row>
    <row r="2265" spans="1:4">
      <c r="A2265" s="715" t="str">
        <f>IF(ster!$A$1=1,names!B2265,IF(ster!$A$1=2,names!C2265))</f>
        <v>EBIT</v>
      </c>
      <c r="B2265" s="716" t="s">
        <v>1874</v>
      </c>
      <c r="C2265" s="716" t="s">
        <v>1874</v>
      </c>
      <c r="D2265" s="716"/>
    </row>
    <row r="2266" spans="1:4">
      <c r="A2266" s="715" t="str">
        <f>IF(ster!$A$1=1,names!B2266,IF(ster!$A$1=2,names!C2266))</f>
        <v>Wynik netto</v>
      </c>
      <c r="B2266" s="716" t="s">
        <v>1875</v>
      </c>
      <c r="C2266" s="716" t="s">
        <v>1955</v>
      </c>
      <c r="D2266" s="716"/>
    </row>
    <row r="2267" spans="1:4">
      <c r="A2267" s="715">
        <f>IF(ster!$A$1=1,names!B2267,IF(ster!$A$1=2,names!C2267))</f>
        <v>0</v>
      </c>
      <c r="B2267" s="716"/>
      <c r="C2267" s="716"/>
      <c r="D2267" s="716"/>
    </row>
    <row r="2268" spans="1:4">
      <c r="A2268" s="715" t="str">
        <f>IF(ster!$A$1=1,names!B2268,IF(ster!$A$1=2,names!C2268))</f>
        <v>Aktywa razem</v>
      </c>
      <c r="B2268" s="716" t="s">
        <v>67</v>
      </c>
      <c r="C2268" s="716" t="s">
        <v>924</v>
      </c>
      <c r="D2268" s="716"/>
    </row>
    <row r="2269" spans="1:4">
      <c r="A2269" s="715" t="str">
        <f>IF(ster!$A$1=1,names!B2269,IF(ster!$A$1=2,names!C2269))</f>
        <v>Kapitał własny</v>
      </c>
      <c r="B2269" s="716" t="s">
        <v>225</v>
      </c>
      <c r="C2269" s="716" t="s">
        <v>925</v>
      </c>
      <c r="D2269" s="716"/>
    </row>
    <row r="2270" spans="1:4">
      <c r="A2270" s="715" t="str">
        <f>IF(ster!$A$1=1,names!B2270,IF(ster!$A$1=2,names!C2270))</f>
        <v>Środki pieniężne netto z działalności operacyjnej</v>
      </c>
      <c r="B2270" s="716" t="s">
        <v>227</v>
      </c>
      <c r="C2270" s="716" t="s">
        <v>1956</v>
      </c>
      <c r="D2270" s="716"/>
    </row>
    <row r="2271" spans="1:4">
      <c r="A2271" s="715" t="str">
        <f>IF(ster!$A$1=1,names!B2271,IF(ster!$A$1=2,names!C2271))</f>
        <v>Środki pieniężne netto z działalności inwestycyjnej</v>
      </c>
      <c r="B2271" s="716" t="s">
        <v>228</v>
      </c>
      <c r="C2271" s="716" t="s">
        <v>1957</v>
      </c>
      <c r="D2271" s="716"/>
    </row>
    <row r="2272" spans="1:4">
      <c r="A2272" s="715" t="str">
        <f>IF(ster!$A$1=1,names!B2272,IF(ster!$A$1=2,names!C2272))</f>
        <v>Nakłady inwestycyjne</v>
      </c>
      <c r="B2272" s="716" t="s">
        <v>1876</v>
      </c>
      <c r="C2272" s="716" t="s">
        <v>1958</v>
      </c>
      <c r="D2272" s="716"/>
    </row>
    <row r="2273" spans="1:4">
      <c r="A2273" s="715" t="str">
        <f>IF(ster!$A$1=1,names!B2273,IF(ster!$A$1=2,names!C2273))</f>
        <v>Dług netto2</v>
      </c>
      <c r="B2273" s="716" t="s">
        <v>1947</v>
      </c>
      <c r="C2273" s="716" t="s">
        <v>1959</v>
      </c>
      <c r="D2273" s="716"/>
    </row>
    <row r="2274" spans="1:4">
      <c r="A2274" s="715" t="str">
        <f>IF(ster!$A$1=1,names!B2274,IF(ster!$A$1=2,names!C2274))</f>
        <v>Dług netto/EBITDA3</v>
      </c>
      <c r="B2274" s="716" t="s">
        <v>1948</v>
      </c>
      <c r="C2274" s="716" t="s">
        <v>1960</v>
      </c>
      <c r="D2274" s="716"/>
    </row>
    <row r="2275" spans="1:4">
      <c r="A2275" s="715">
        <f>IF(ster!$A$1=1,names!B2275,IF(ster!$A$1=2,names!C2275))</f>
        <v>0</v>
      </c>
      <c r="B2275" s="716"/>
      <c r="C2275" s="716"/>
      <c r="D2275" s="716"/>
    </row>
    <row r="2276" spans="1:4">
      <c r="A2276" s="715" t="str">
        <f>IF(ster!$A$1=1,names!B2276,IF(ster!$A$1=2,names!C2276))</f>
        <v>1) uwzględnia Wyłączenia</v>
      </c>
      <c r="B2276" s="716" t="s">
        <v>1914</v>
      </c>
      <c r="C2276" s="716" t="s">
        <v>1962</v>
      </c>
      <c r="D2276" s="716"/>
    </row>
    <row r="2277" spans="1:4" ht="48">
      <c r="A2277" s="715" t="str">
        <f>IF(ster!$A$1=1,names!B2277,IF(ster!$A$1=2,names!C2277))</f>
        <v>2) Dług netto = (krótkoterminowe + długoterminowe zobowiązania z tytułu kredytów, pożyczek dłużne pap. wart.) – środki pieniężne</v>
      </c>
      <c r="B2277" s="716" t="s">
        <v>1961</v>
      </c>
      <c r="C2277" s="716" t="s">
        <v>1963</v>
      </c>
      <c r="D2277" s="716"/>
    </row>
    <row r="2278" spans="1:4">
      <c r="A2278" s="715" t="str">
        <f>IF(ster!$A$1=1,names!B2278,IF(ster!$A$1=2,names!C2278))</f>
        <v>3) Dług netto/EBITDA z ostatnich czterech kwartałów</v>
      </c>
      <c r="B2278" s="716" t="s">
        <v>1915</v>
      </c>
      <c r="C2278" s="716" t="s">
        <v>1964</v>
      </c>
      <c r="D2278" s="716"/>
    </row>
    <row r="2279" spans="1:4">
      <c r="A2279" s="715" t="str">
        <f>IF(ster!$A$1=1,names!B2279,IF(ster!$A$1=2,names!C2279))</f>
        <v>*) Dane przekształcone</v>
      </c>
      <c r="B2279" s="716" t="s">
        <v>1879</v>
      </c>
      <c r="C2279" s="716" t="s">
        <v>1965</v>
      </c>
      <c r="D2279" s="716"/>
    </row>
    <row r="2280" spans="1:4">
      <c r="A2280" s="715">
        <f>IF(ster!$A$1=1,names!B2280,IF(ster!$A$1=2,names!C2280))</f>
        <v>0</v>
      </c>
      <c r="B2280" s="716"/>
      <c r="C2280" s="716"/>
      <c r="D2280" s="716"/>
    </row>
    <row r="2281" spans="1:4">
      <c r="A2281" s="715" t="str">
        <f>IF(ster!$A$1=1,names!B2281,IF(ster!$A$1=2,names!C2281))</f>
        <v>Upstream &amp; Supply</v>
      </c>
      <c r="B2281" s="716" t="s">
        <v>1818</v>
      </c>
      <c r="C2281" s="716" t="s">
        <v>1818</v>
      </c>
      <c r="D2281" s="716"/>
    </row>
    <row r="2282" spans="1:4">
      <c r="A2282" s="715" t="str">
        <f>IF(ster!$A$1=1,names!B2282,IF(ster!$A$1=2,names!C2282))</f>
        <v>Wydobycie (Polska)</v>
      </c>
      <c r="B2282" s="716" t="s">
        <v>1720</v>
      </c>
      <c r="C2282" s="716" t="s">
        <v>1966</v>
      </c>
      <c r="D2282" s="716"/>
    </row>
    <row r="2283" spans="1:4">
      <c r="A2283" s="715" t="str">
        <f>IF(ster!$A$1=1,names!B2283,IF(ster!$A$1=2,names!C2283))</f>
        <v>Wydobycie (Zagranica)</v>
      </c>
      <c r="B2283" s="716" t="s">
        <v>1721</v>
      </c>
      <c r="C2283" s="716" t="s">
        <v>1967</v>
      </c>
      <c r="D2283" s="716"/>
    </row>
    <row r="2284" spans="1:4">
      <c r="A2284" s="715" t="str">
        <f>IF(ster!$A$1=1,names!B2284,IF(ster!$A$1=2,names!C2284))</f>
        <v>Obrót Hurtowy Ropą i Gazem</v>
      </c>
      <c r="B2284" s="716" t="s">
        <v>1722</v>
      </c>
      <c r="C2284" s="716" t="s">
        <v>1805</v>
      </c>
      <c r="D2284" s="716"/>
    </row>
    <row r="2285" spans="1:4">
      <c r="A2285" s="715" t="str">
        <f>IF(ster!$A$1=1,names!B2285,IF(ster!$A$1=2,names!C2285))</f>
        <v>Pozostałe</v>
      </c>
      <c r="B2285" s="716" t="s">
        <v>47</v>
      </c>
      <c r="C2285" s="716" t="s">
        <v>1739</v>
      </c>
      <c r="D2285" s="716"/>
    </row>
    <row r="2286" spans="1:4">
      <c r="A2286" s="715" t="str">
        <f>IF(ster!$A$1=1,names!B2286,IF(ster!$A$1=2,names!C2286))</f>
        <v>Downstream</v>
      </c>
      <c r="B2286" s="716" t="s">
        <v>1681</v>
      </c>
      <c r="C2286" s="716" t="s">
        <v>1681</v>
      </c>
      <c r="D2286" s="716"/>
    </row>
    <row r="2287" spans="1:4">
      <c r="A2287" s="715" t="str">
        <f>IF(ster!$A$1=1,names!B2287,IF(ster!$A$1=2,names!C2287))</f>
        <v>Rafineria (Produkcja i Obrót)</v>
      </c>
      <c r="B2287" s="716" t="s">
        <v>1725</v>
      </c>
      <c r="C2287" s="716" t="s">
        <v>1981</v>
      </c>
      <c r="D2287" s="716"/>
    </row>
    <row r="2288" spans="1:4">
      <c r="A2288" s="715" t="str">
        <f>IF(ster!$A$1=1,names!B2288,IF(ster!$A$1=2,names!C2288))</f>
        <v>Petrochemia (Produkcja i Obrót)</v>
      </c>
      <c r="B2288" s="716" t="s">
        <v>1726</v>
      </c>
      <c r="C2288" s="716" t="s">
        <v>1982</v>
      </c>
      <c r="D2288" s="716"/>
    </row>
    <row r="2289" spans="1:3">
      <c r="A2289" s="715" t="str">
        <f>IF(ster!$A$1=1,names!B2289,IF(ster!$A$1=2,names!C2289))</f>
        <v>Pozostałe</v>
      </c>
      <c r="B2289" s="715" t="s">
        <v>47</v>
      </c>
      <c r="C2289" s="715" t="s">
        <v>1739</v>
      </c>
    </row>
    <row r="2290" spans="1:3">
      <c r="A2290" s="715" t="str">
        <f>IF(ster!$A$1=1,names!B2290,IF(ster!$A$1=2,names!C2290))</f>
        <v>Energy</v>
      </c>
      <c r="B2290" s="715" t="s">
        <v>796</v>
      </c>
      <c r="C2290" s="715" t="s">
        <v>796</v>
      </c>
    </row>
    <row r="2291" spans="1:3">
      <c r="A2291" s="715" t="str">
        <f>IF(ster!$A$1=1,names!B2291,IF(ster!$A$1=2,names!C2291))</f>
        <v>Sieci Dystrybucyjne (Energia i Gaz)</v>
      </c>
      <c r="B2291" s="715" t="s">
        <v>1727</v>
      </c>
      <c r="C2291" s="715" t="s">
        <v>1733</v>
      </c>
    </row>
    <row r="2292" spans="1:3">
      <c r="A2292" s="715" t="str">
        <f>IF(ster!$A$1=1,names!B2292,IF(ster!$A$1=2,names!C2292))</f>
        <v>Ciepłownictwo</v>
      </c>
      <c r="B2292" s="715" t="s">
        <v>1728</v>
      </c>
      <c r="C2292" s="715" t="s">
        <v>1968</v>
      </c>
    </row>
    <row r="2293" spans="1:3">
      <c r="A2293" s="715" t="str">
        <f>IF(ster!$A$1=1,names!B2293,IF(ster!$A$1=2,names!C2293))</f>
        <v>Energetyka konwencjonalna</v>
      </c>
      <c r="B2293" s="715" t="s">
        <v>1852</v>
      </c>
      <c r="C2293" s="715" t="s">
        <v>1969</v>
      </c>
    </row>
    <row r="2294" spans="1:3">
      <c r="A2294" s="715" t="str">
        <f>IF(ster!$A$1=1,names!B2294,IF(ster!$A$1=2,names!C2294))</f>
        <v>OZE</v>
      </c>
      <c r="B2294" s="715" t="s">
        <v>1729</v>
      </c>
      <c r="C2294" s="715" t="s">
        <v>1535</v>
      </c>
    </row>
    <row r="2295" spans="1:3">
      <c r="A2295" s="715" t="str">
        <f>IF(ster!$A$1=1,names!B2295,IF(ster!$A$1=2,names!C2295))</f>
        <v>Handel Energią Elektryczną</v>
      </c>
      <c r="B2295" s="715" t="s">
        <v>1730</v>
      </c>
      <c r="C2295" s="715" t="s">
        <v>1970</v>
      </c>
    </row>
    <row r="2296" spans="1:3">
      <c r="A2296" s="715" t="str">
        <f>IF(ster!$A$1=1,names!B2296,IF(ster!$A$1=2,names!C2296))</f>
        <v>Pozostałe</v>
      </c>
      <c r="B2296" s="715" t="s">
        <v>47</v>
      </c>
      <c r="C2296" s="715" t="s">
        <v>1739</v>
      </c>
    </row>
    <row r="2297" spans="1:3">
      <c r="A2297" s="715" t="str">
        <f>IF(ster!$A$1=1,names!B2297,IF(ster!$A$1=2,names!C2297))</f>
        <v>Consumers &amp; Products</v>
      </c>
      <c r="B2297" s="715" t="s">
        <v>1871</v>
      </c>
      <c r="C2297" s="715" t="s">
        <v>1871</v>
      </c>
    </row>
    <row r="2298" spans="1:3">
      <c r="A2298" s="715" t="str">
        <f>IF(ster!$A$1=1,names!B2298,IF(ster!$A$1=2,names!C2298))</f>
        <v>Detal (Paliwo i Sklep)</v>
      </c>
      <c r="B2298" s="715" t="s">
        <v>1732</v>
      </c>
      <c r="C2298" s="715" t="s">
        <v>1735</v>
      </c>
    </row>
    <row r="2299" spans="1:3">
      <c r="A2299" s="715" t="str">
        <f>IF(ster!$A$1=1,names!B2299,IF(ster!$A$1=2,names!C2299))</f>
        <v>Detal (Energia i Gaz)</v>
      </c>
      <c r="B2299" s="715" t="s">
        <v>1731</v>
      </c>
      <c r="C2299" s="715" t="s">
        <v>1736</v>
      </c>
    </row>
    <row r="2300" spans="1:3">
      <c r="A2300" s="715" t="str">
        <f>IF(ster!$A$1=1,names!B2300,IF(ster!$A$1=2,names!C2300))</f>
        <v>Pozostałe</v>
      </c>
      <c r="B2300" s="715" t="s">
        <v>47</v>
      </c>
      <c r="C2300" s="715" t="s">
        <v>1739</v>
      </c>
    </row>
    <row r="2301" spans="1:3">
      <c r="A2301" s="715" t="str">
        <f>IF(ster!$A$1=1,names!B2301,IF(ster!$A$1=2,names!C2301))</f>
        <v>Corporate functions1</v>
      </c>
      <c r="B2301" s="715" t="s">
        <v>1946</v>
      </c>
      <c r="C2301" s="715" t="s">
        <v>1946</v>
      </c>
    </row>
    <row r="2302" spans="1:3">
      <c r="A2302" s="715" t="str">
        <f>IF(ster!$A$1=1,names!B2302,IF(ster!$A$1=2,names!C2302))</f>
        <v>EBITDA LIFO</v>
      </c>
      <c r="B2302" s="715" t="s">
        <v>211</v>
      </c>
      <c r="C2302" s="715" t="s">
        <v>211</v>
      </c>
    </row>
    <row r="2303" spans="1:3">
      <c r="A2303" s="715" t="str">
        <f>IF(ster!$A$1=1,names!B2303,IF(ster!$A$1=2,names!C2303))</f>
        <v>Efekt LIFO</v>
      </c>
      <c r="B2303" s="715" t="s">
        <v>1873</v>
      </c>
      <c r="C2303" s="715" t="s">
        <v>1953</v>
      </c>
    </row>
    <row r="2304" spans="1:3">
      <c r="A2304" s="715" t="str">
        <f>IF(ster!$A$1=1,names!B2304,IF(ster!$A$1=2,names!C2304))</f>
        <v>Upstream &amp; Supply</v>
      </c>
      <c r="B2304" s="715" t="s">
        <v>1818</v>
      </c>
      <c r="C2304" s="715" t="s">
        <v>1818</v>
      </c>
    </row>
    <row r="2305" spans="1:3">
      <c r="A2305" s="715" t="str">
        <f>IF(ster!$A$1=1,names!B2305,IF(ster!$A$1=2,names!C2305))</f>
        <v>Downstream</v>
      </c>
      <c r="B2305" s="715" t="s">
        <v>1681</v>
      </c>
      <c r="C2305" s="715" t="s">
        <v>1681</v>
      </c>
    </row>
    <row r="2306" spans="1:3">
      <c r="A2306" s="715" t="str">
        <f>IF(ster!$A$1=1,names!B2306,IF(ster!$A$1=2,names!C2306))</f>
        <v xml:space="preserve">EBITDA </v>
      </c>
      <c r="B2306" s="715" t="s">
        <v>1912</v>
      </c>
      <c r="C2306" s="715" t="s">
        <v>1912</v>
      </c>
    </row>
    <row r="2307" spans="1:3">
      <c r="A2307" s="715" t="str">
        <f>IF(ster!$A$1=1,names!B2307,IF(ster!$A$1=2,names!C2307))</f>
        <v>EBIT</v>
      </c>
      <c r="B2307" s="715" t="s">
        <v>1874</v>
      </c>
      <c r="C2307" s="715" t="s">
        <v>1874</v>
      </c>
    </row>
    <row r="2308" spans="1:3">
      <c r="A2308" s="715" t="str">
        <f>IF(ster!$A$1=1,names!B2308,IF(ster!$A$1=2,names!C2308))</f>
        <v>Odpisy aktualizujące</v>
      </c>
      <c r="B2308" s="715" t="s">
        <v>1913</v>
      </c>
      <c r="C2308" s="715" t="s">
        <v>954</v>
      </c>
    </row>
    <row r="2309" spans="1:3">
      <c r="A2309" s="715">
        <f>IF(ster!$A$1=1,names!B2309,IF(ster!$A$1=2,names!C2309))</f>
        <v>0</v>
      </c>
    </row>
    <row r="2310" spans="1:3" ht="32.25">
      <c r="A2310" s="715" t="str">
        <f>IF(ster!$A$1=1,names!B2310,IF(ster!$A$1=2,names!C2310))</f>
        <v>Upstream &amp; Supply
(mln PLN)</v>
      </c>
      <c r="B2310" s="715" t="s">
        <v>1878</v>
      </c>
      <c r="C2310" s="716" t="s">
        <v>1971</v>
      </c>
    </row>
    <row r="2311" spans="1:3">
      <c r="A2311" s="715" t="str">
        <f>IF(ster!$A$1=1,names!B2311,IF(ster!$A$1=2,names!C2311))</f>
        <v>EBITDA LIFO przed odpisami</v>
      </c>
      <c r="B2311" s="716" t="s">
        <v>1972</v>
      </c>
      <c r="C2311" s="716" t="s">
        <v>1973</v>
      </c>
    </row>
    <row r="2312" spans="1:3" ht="32.25">
      <c r="A2312" s="715" t="str">
        <f>IF(ster!$A$1=1,names!B2312,IF(ster!$A$1=2,names!C2312))</f>
        <v>Downstream
(mln PLN)</v>
      </c>
      <c r="B2312" s="715" t="s">
        <v>1880</v>
      </c>
      <c r="C2312" s="716" t="s">
        <v>1974</v>
      </c>
    </row>
    <row r="2313" spans="1:3" ht="32.25">
      <c r="A2313" s="715" t="str">
        <f>IF(ster!$A$1=1,names!B2313,IF(ster!$A$1=2,names!C2313))</f>
        <v>Energy
(mln PLN)</v>
      </c>
      <c r="B2313" s="715" t="s">
        <v>1881</v>
      </c>
      <c r="C2313" s="716" t="s">
        <v>1975</v>
      </c>
    </row>
    <row r="2314" spans="1:3">
      <c r="A2314" s="715" t="str">
        <f>IF(ster!$A$1=1,names!B2314,IF(ster!$A$1=2,names!C2314))</f>
        <v xml:space="preserve">EBITDA przed odpisami </v>
      </c>
      <c r="B2314" s="715" t="s">
        <v>1885</v>
      </c>
      <c r="C2314" s="715" t="s">
        <v>1976</v>
      </c>
    </row>
    <row r="2315" spans="1:3" ht="32.25">
      <c r="A2315" s="715" t="str">
        <f>IF(ster!$A$1=1,names!B2315,IF(ster!$A$1=2,names!C2315))</f>
        <v>Consumers &amp; Products
(mln PLN)</v>
      </c>
      <c r="B2315" s="715" t="s">
        <v>1883</v>
      </c>
      <c r="C2315" s="716" t="s">
        <v>1977</v>
      </c>
    </row>
    <row r="2316" spans="1:3" ht="32.25">
      <c r="A2316" s="715" t="str">
        <f>IF(ster!$A$1=1,names!B2316,IF(ster!$A$1=2,names!C2316))</f>
        <v>Corporate functions
(mln PLN)</v>
      </c>
      <c r="B2316" s="715" t="s">
        <v>1884</v>
      </c>
      <c r="C2316" s="716" t="s">
        <v>1978</v>
      </c>
    </row>
    <row r="2317" spans="1:3">
      <c r="A2317" s="715" t="str">
        <f>IF(ster!$A$1=1,names!B2317,IF(ster!$A$1=2,names!C2317))</f>
        <v>Dyferencjał 2)</v>
      </c>
      <c r="B2317" s="715" t="s">
        <v>1761</v>
      </c>
      <c r="C2317" s="715" t="s">
        <v>1980</v>
      </c>
    </row>
    <row r="2318" spans="1:3">
      <c r="A2318" s="715">
        <f>IF(ster!$A$1=1,names!B2318,IF(ster!$A$1=2,names!C2318))</f>
        <v>0</v>
      </c>
    </row>
    <row r="2319" spans="1:3">
      <c r="A2319" s="715" t="str">
        <f>IF(ster!$A$1=1,names!B2319,IF(ster!$A$1=2,names!C2319))</f>
        <v>Upstream &amp; Supply</v>
      </c>
      <c r="B2319" s="715" t="s">
        <v>1818</v>
      </c>
      <c r="C2319" s="715" t="s">
        <v>1818</v>
      </c>
    </row>
    <row r="2320" spans="1:3">
      <c r="A2320" s="715" t="str">
        <f>IF(ster!$A$1=1,names!B2320,IF(ster!$A$1=2,names!C2320))</f>
        <v>Upstream</v>
      </c>
      <c r="B2320" s="715" t="s">
        <v>798</v>
      </c>
      <c r="C2320" s="715" t="s">
        <v>798</v>
      </c>
    </row>
    <row r="2321" spans="1:3">
      <c r="A2321" s="715" t="str">
        <f>IF(ster!$A$1=1,names!B2321,IF(ster!$A$1=2,names!C2321))</f>
        <v>Supply</v>
      </c>
      <c r="B2321" s="715" t="s">
        <v>1998</v>
      </c>
      <c r="C2321" s="715" t="s">
        <v>1998</v>
      </c>
    </row>
    <row r="2322" spans="1:3">
      <c r="A2322" s="715" t="str">
        <f>IF(ster!$A$1=1,names!B2322,IF(ster!$A$1=2,names!C2322))</f>
        <v>Downstream</v>
      </c>
      <c r="B2322" s="715" t="s">
        <v>1681</v>
      </c>
      <c r="C2322" s="715" t="s">
        <v>1681</v>
      </c>
    </row>
    <row r="2323" spans="1:3">
      <c r="A2323" s="715" t="str">
        <f>IF(ster!$A$1=1,names!B2323,IF(ster!$A$1=2,names!C2323))</f>
        <v>Rafineria</v>
      </c>
      <c r="B2323" s="715" t="s">
        <v>50</v>
      </c>
      <c r="C2323" s="715" t="s">
        <v>794</v>
      </c>
    </row>
    <row r="2324" spans="1:3">
      <c r="A2324" s="715" t="str">
        <f>IF(ster!$A$1=1,names!B2324,IF(ster!$A$1=2,names!C2324))</f>
        <v>Petrochemia</v>
      </c>
      <c r="B2324" s="715" t="s">
        <v>52</v>
      </c>
      <c r="C2324" s="715" t="s">
        <v>1999</v>
      </c>
    </row>
    <row r="2325" spans="1:3">
      <c r="A2325" s="715" t="str">
        <f>IF(ster!$A$1=1,names!B2325,IF(ster!$A$1=2,names!C2325))</f>
        <v>Energy</v>
      </c>
      <c r="B2325" s="715" t="s">
        <v>796</v>
      </c>
      <c r="C2325" s="715" t="s">
        <v>796</v>
      </c>
    </row>
    <row r="2326" spans="1:3">
      <c r="A2326" s="715" t="str">
        <f>IF(ster!$A$1=1,names!B2326,IF(ster!$A$1=2,names!C2326))</f>
        <v>Wytwarzanie</v>
      </c>
      <c r="B2326" s="715" t="s">
        <v>2000</v>
      </c>
      <c r="C2326" s="715" t="s">
        <v>2005</v>
      </c>
    </row>
    <row r="2327" spans="1:3">
      <c r="A2327" s="715" t="str">
        <f>IF(ster!$A$1=1,names!B2327,IF(ster!$A$1=2,names!C2327))</f>
        <v>Sieci Dystrybucyjne</v>
      </c>
      <c r="B2327" s="715" t="s">
        <v>2001</v>
      </c>
      <c r="C2327" s="715" t="s">
        <v>2003</v>
      </c>
    </row>
    <row r="2328" spans="1:3">
      <c r="A2328" s="715" t="str">
        <f>IF(ster!$A$1=1,names!B2328,IF(ster!$A$1=2,names!C2328))</f>
        <v>Nowa Energetyka</v>
      </c>
      <c r="B2328" s="715" t="s">
        <v>2002</v>
      </c>
      <c r="C2328" s="715" t="s">
        <v>2004</v>
      </c>
    </row>
    <row r="2329" spans="1:3">
      <c r="A2329" s="715" t="str">
        <f>IF(ster!$A$1=1,names!B2329,IF(ster!$A$1=2,names!C2329))</f>
        <v>Consumers &amp; Products</v>
      </c>
      <c r="B2329" s="715" t="s">
        <v>1871</v>
      </c>
      <c r="C2329" s="715" t="s">
        <v>1871</v>
      </c>
    </row>
    <row r="2330" spans="1:3">
      <c r="A2330" s="715" t="str">
        <f>IF(ster!$A$1=1,names!B2330,IF(ster!$A$1=2,names!C2330))</f>
        <v>Detal paliwowy</v>
      </c>
      <c r="B2330" s="715" t="s">
        <v>2006</v>
      </c>
      <c r="C2330" s="715" t="s">
        <v>2007</v>
      </c>
    </row>
    <row r="2331" spans="1:3">
      <c r="A2331" s="715" t="str">
        <f>IF(ster!$A$1=1,names!B2331,IF(ster!$A$1=2,names!C2331))</f>
        <v>Detal niepaliwowy</v>
      </c>
      <c r="B2331" s="715" t="s">
        <v>2008</v>
      </c>
      <c r="C2331" s="715" t="s">
        <v>2009</v>
      </c>
    </row>
    <row r="2332" spans="1:3">
      <c r="A2332" s="715" t="str">
        <f>IF(ster!$A$1=1,names!B2332,IF(ster!$A$1=2,names!C2332))</f>
        <v>Corporate Functions1</v>
      </c>
      <c r="B2332" s="715" t="s">
        <v>2010</v>
      </c>
      <c r="C2332" s="715" t="s">
        <v>2010</v>
      </c>
    </row>
    <row r="2333" spans="1:3">
      <c r="A2333" s="715" t="str">
        <f>IF(ster!$A$1=1,names!B2333,IF(ster!$A$1=2,names!C2333))</f>
        <v>EBITDA LIFO</v>
      </c>
      <c r="B2333" s="715" t="s">
        <v>211</v>
      </c>
      <c r="C2333" s="715" t="s">
        <v>211</v>
      </c>
    </row>
    <row r="2334" spans="1:3">
      <c r="A2334" s="715" t="str">
        <f>IF(ster!$A$1=1,names!B2334,IF(ster!$A$1=2,names!C2334))</f>
        <v>Efekt LIFO</v>
      </c>
      <c r="B2334" s="715" t="s">
        <v>1873</v>
      </c>
      <c r="C2334" s="715" t="s">
        <v>1953</v>
      </c>
    </row>
    <row r="2335" spans="1:3">
      <c r="A2335" s="715" t="str">
        <f>IF(ster!$A$1=1,names!B2335,IF(ster!$A$1=2,names!C2335))</f>
        <v>Upstream &amp; Supply</v>
      </c>
      <c r="B2335" s="715" t="s">
        <v>1818</v>
      </c>
      <c r="C2335" s="715" t="s">
        <v>1818</v>
      </c>
    </row>
    <row r="2336" spans="1:3">
      <c r="A2336" s="715" t="str">
        <f>IF(ster!$A$1=1,names!B2336,IF(ster!$A$1=2,names!C2336))</f>
        <v>Downstream</v>
      </c>
      <c r="B2336" s="715" t="s">
        <v>1681</v>
      </c>
      <c r="C2336" s="715" t="s">
        <v>1681</v>
      </c>
    </row>
    <row r="2337" spans="1:5">
      <c r="A2337" s="715" t="str">
        <f>IF(ster!$A$1=1,names!B2337,IF(ster!$A$1=2,names!C2337))</f>
        <v xml:space="preserve">EBITDA </v>
      </c>
      <c r="B2337" s="715" t="s">
        <v>1912</v>
      </c>
      <c r="C2337" s="715" t="s">
        <v>1912</v>
      </c>
    </row>
    <row r="2338" spans="1:5">
      <c r="A2338" s="715">
        <f>IF(ster!$A$1=1,names!B2338,IF(ster!$A$1=2,names!C2338))</f>
        <v>0</v>
      </c>
    </row>
    <row r="2339" spans="1:5">
      <c r="A2339" s="715" t="str">
        <f>IF(ster!$A$1=1,names!B2339,IF(ster!$A$1=2,names!C2339))</f>
        <v>Amortyzacja</v>
      </c>
      <c r="B2339" s="715" t="s">
        <v>91</v>
      </c>
      <c r="C2339" s="716" t="s">
        <v>952</v>
      </c>
    </row>
    <row r="2340" spans="1:5">
      <c r="A2340" s="715">
        <f>IF(ster!$A$1=1,names!B2340,IF(ster!$A$1=2,names!C2340))</f>
        <v>0</v>
      </c>
    </row>
    <row r="2341" spans="1:5">
      <c r="A2341" s="715" t="str">
        <f>IF(ster!$A$1=1,names!B2341,IF(ster!$A$1=2,names!C2341))</f>
        <v>Sprzedaż
(tys. ton)</v>
      </c>
      <c r="B2341" s="715" t="s">
        <v>1909</v>
      </c>
      <c r="C2341" s="715" t="s">
        <v>1921</v>
      </c>
    </row>
    <row r="2342" spans="1:5">
      <c r="A2342" s="715" t="str">
        <f>IF(ster!$A$1=1,names!B2342,IF(ster!$A$1=2,names!C2342))</f>
        <v>Downstream, w tym:</v>
      </c>
      <c r="B2342" s="715" t="s">
        <v>1737</v>
      </c>
      <c r="C2342" s="715" t="s">
        <v>1922</v>
      </c>
    </row>
    <row r="2343" spans="1:5">
      <c r="A2343" s="715" t="str">
        <f>IF(ster!$A$1=1,names!B2343,IF(ster!$A$1=2,names!C2343))</f>
        <v>Rafineria</v>
      </c>
      <c r="B2343" s="715" t="s">
        <v>50</v>
      </c>
      <c r="C2343" s="715" t="s">
        <v>794</v>
      </c>
      <c r="E2343" s="339"/>
    </row>
    <row r="2344" spans="1:5">
      <c r="A2344" s="715" t="str">
        <f>IF(ster!$A$1=1,names!B2344,IF(ster!$A$1=2,names!C2344))</f>
        <v>Benzyna</v>
      </c>
      <c r="B2344" s="715" t="s">
        <v>98</v>
      </c>
      <c r="C2344" s="715" t="s">
        <v>832</v>
      </c>
      <c r="E2344" s="339"/>
    </row>
    <row r="2345" spans="1:5">
      <c r="A2345" s="715" t="str">
        <f>IF(ster!$A$1=1,names!B2345,IF(ster!$A$1=2,names!C2345))</f>
        <v>ON</v>
      </c>
      <c r="B2345" s="715" t="s">
        <v>12</v>
      </c>
      <c r="C2345" s="715" t="s">
        <v>1924</v>
      </c>
      <c r="E2345" s="339"/>
    </row>
    <row r="2346" spans="1:5">
      <c r="A2346" s="715" t="str">
        <f>IF(ster!$A$1=1,names!B2346,IF(ster!$A$1=2,names!C2346))</f>
        <v>LPG</v>
      </c>
      <c r="B2346" s="715" t="s">
        <v>94</v>
      </c>
      <c r="C2346" s="715" t="s">
        <v>94</v>
      </c>
      <c r="E2346" s="339"/>
    </row>
    <row r="2347" spans="1:5">
      <c r="A2347" s="715" t="str">
        <f>IF(ster!$A$1=1,names!B2347,IF(ster!$A$1=2,names!C2347))</f>
        <v>Paliwo JET</v>
      </c>
      <c r="B2347" s="715" t="s">
        <v>1903</v>
      </c>
      <c r="C2347" s="715" t="s">
        <v>1925</v>
      </c>
      <c r="E2347" s="339"/>
    </row>
    <row r="2348" spans="1:5">
      <c r="A2348" s="715" t="str">
        <f>IF(ster!$A$1=1,names!B2348,IF(ster!$A$1=2,names!C2348))</f>
        <v>COO</v>
      </c>
      <c r="B2348" s="715" t="s">
        <v>1904</v>
      </c>
      <c r="C2348" s="715" t="s">
        <v>836</v>
      </c>
      <c r="E2348" s="339"/>
    </row>
    <row r="2349" spans="1:5">
      <c r="A2349" s="715" t="str">
        <f>IF(ster!$A$1=1,names!B2349,IF(ster!$A$1=2,names!C2349))</f>
        <v>Pozostałe</v>
      </c>
      <c r="B2349" s="715" t="s">
        <v>47</v>
      </c>
      <c r="C2349" s="715" t="s">
        <v>935</v>
      </c>
      <c r="E2349" s="339"/>
    </row>
    <row r="2350" spans="1:5">
      <c r="A2350" s="715" t="str">
        <f>IF(ster!$A$1=1,names!B2350,IF(ster!$A$1=2,names!C2350))</f>
        <v>Petrochemia</v>
      </c>
      <c r="B2350" s="715" t="s">
        <v>52</v>
      </c>
      <c r="C2350" s="715" t="s">
        <v>1999</v>
      </c>
      <c r="E2350" s="339"/>
    </row>
    <row r="2351" spans="1:5">
      <c r="A2351" s="715" t="str">
        <f>IF(ster!$A$1=1,names!B2351,IF(ster!$A$1=2,names!C2351))</f>
        <v>Olefiny</v>
      </c>
      <c r="B2351" s="715" t="s">
        <v>1905</v>
      </c>
      <c r="C2351" s="715" t="s">
        <v>1926</v>
      </c>
      <c r="E2351" s="339"/>
    </row>
    <row r="2352" spans="1:5">
      <c r="A2352" s="715" t="str">
        <f>IF(ster!$A$1=1,names!B2352,IF(ster!$A$1=2,names!C2352))</f>
        <v>Poliolefiny</v>
      </c>
      <c r="B2352" s="715" t="s">
        <v>1906</v>
      </c>
      <c r="C2352" s="715" t="s">
        <v>1927</v>
      </c>
      <c r="E2352" s="339"/>
    </row>
    <row r="2353" spans="1:5">
      <c r="A2353" s="715" t="str">
        <f>IF(ster!$A$1=1,names!B2353,IF(ster!$A$1=2,names!C2353))</f>
        <v>Nawozy</v>
      </c>
      <c r="B2353" s="715" t="s">
        <v>1890</v>
      </c>
      <c r="C2353" s="715" t="s">
        <v>1928</v>
      </c>
      <c r="E2353" s="339"/>
    </row>
    <row r="2354" spans="1:5">
      <c r="A2354" s="715" t="str">
        <f>IF(ster!$A$1=1,names!B2354,IF(ster!$A$1=2,names!C2354))</f>
        <v>PCW</v>
      </c>
      <c r="B2354" s="715" t="s">
        <v>1907</v>
      </c>
      <c r="C2354" s="715" t="s">
        <v>1929</v>
      </c>
    </row>
    <row r="2355" spans="1:5">
      <c r="A2355" s="715" t="str">
        <f>IF(ster!$A$1=1,names!B2355,IF(ster!$A$1=2,names!C2355))</f>
        <v>PTA</v>
      </c>
      <c r="B2355" s="715" t="s">
        <v>89</v>
      </c>
      <c r="C2355" s="715" t="s">
        <v>89</v>
      </c>
      <c r="E2355" s="339"/>
    </row>
    <row r="2356" spans="1:5">
      <c r="A2356" s="715" t="str">
        <f>IF(ster!$A$1=1,names!B2356,IF(ster!$A$1=2,names!C2356))</f>
        <v>Pozostałe</v>
      </c>
      <c r="B2356" s="715" t="s">
        <v>47</v>
      </c>
      <c r="C2356" s="715" t="s">
        <v>935</v>
      </c>
      <c r="E2356" s="339"/>
    </row>
    <row r="2357" spans="1:5">
      <c r="A2357" s="715">
        <f>IF(ster!$A$1=1,names!B2357,IF(ster!$A$1=2,names!C2357))</f>
        <v>0</v>
      </c>
      <c r="E2357" s="339"/>
    </row>
    <row r="2358" spans="1:5">
      <c r="A2358" s="715" t="str">
        <f>IF(ster!$A$1=1,names!B2358,IF(ster!$A$1=2,names!C2358))</f>
        <v>Consumers &amp; Products, w tym:</v>
      </c>
      <c r="B2358" s="715" t="s">
        <v>1908</v>
      </c>
      <c r="C2358" s="715" t="s">
        <v>1923</v>
      </c>
      <c r="E2358" s="339"/>
    </row>
    <row r="2359" spans="1:5">
      <c r="A2359" s="715" t="str">
        <f>IF(ster!$A$1=1,names!B2359,IF(ster!$A$1=2,names!C2359))</f>
        <v>Benzyna</v>
      </c>
      <c r="B2359" s="715" t="s">
        <v>98</v>
      </c>
      <c r="C2359" s="715" t="s">
        <v>832</v>
      </c>
      <c r="E2359" s="339"/>
    </row>
    <row r="2360" spans="1:5">
      <c r="A2360" s="715" t="str">
        <f>IF(ster!$A$1=1,names!B2360,IF(ster!$A$1=2,names!C2360))</f>
        <v>ON</v>
      </c>
      <c r="B2360" s="715" t="s">
        <v>12</v>
      </c>
      <c r="C2360" s="715" t="s">
        <v>1924</v>
      </c>
    </row>
    <row r="2361" spans="1:5">
      <c r="A2361" s="715" t="str">
        <f>IF(ster!$A$1=1,names!B2361,IF(ster!$A$1=2,names!C2361))</f>
        <v>LPG</v>
      </c>
      <c r="B2361" s="715" t="s">
        <v>94</v>
      </c>
      <c r="C2361" s="715" t="s">
        <v>94</v>
      </c>
    </row>
    <row r="2362" spans="1:5">
      <c r="A2362" s="715" t="str">
        <f>IF(ster!$A$1=1,names!B2362,IF(ster!$A$1=2,names!C2362))</f>
        <v>Pozostałe</v>
      </c>
      <c r="B2362" s="715" t="s">
        <v>47</v>
      </c>
      <c r="C2362" s="715" t="s">
        <v>935</v>
      </c>
    </row>
    <row r="2363" spans="1:5">
      <c r="A2363" s="715">
        <f>IF(ster!$A$1=1,names!B2363,IF(ster!$A$1=2,names!C2363))</f>
        <v>0</v>
      </c>
    </row>
    <row r="2364" spans="1:5">
      <c r="A2364" s="715" t="str">
        <f>IF(ster!$A$1=1,names!B2364,IF(ster!$A$1=2,names!C2364))</f>
        <v>Wybrane dane operacyjne segmentu Upstream&amp;Supply i Energy</v>
      </c>
      <c r="B2364" s="715" t="s">
        <v>1869</v>
      </c>
      <c r="C2364" s="715" t="s">
        <v>1811</v>
      </c>
    </row>
    <row r="2365" spans="1:5">
      <c r="A2365" s="715" t="str">
        <f>IF(ster!$A$1=1,names!B2365,IF(ster!$A$1=2,names!C2365))</f>
        <v>Wyszczególnienie</v>
      </c>
      <c r="B2365" s="715" t="s">
        <v>16</v>
      </c>
      <c r="C2365" s="715" t="s">
        <v>825</v>
      </c>
    </row>
    <row r="2366" spans="1:5">
      <c r="A2366" s="715">
        <f>IF(ster!$A$1=1,names!B2366,IF(ster!$A$1=2,names!C2366))</f>
        <v>0</v>
      </c>
    </row>
    <row r="2367" spans="1:5">
      <c r="A2367" s="715" t="str">
        <f>IF(ster!$A$1=1,names!B2367,IF(ster!$A$1=2,names!C2367))</f>
        <v>Dane operacyjne Upstream&amp;Supply</v>
      </c>
      <c r="B2367" s="715" t="s">
        <v>1812</v>
      </c>
      <c r="C2367" s="715" t="s">
        <v>2011</v>
      </c>
    </row>
    <row r="2368" spans="1:5">
      <c r="A2368" s="715">
        <f>IF(ster!$A$1=1,names!B2368,IF(ster!$A$1=2,names!C2368))</f>
        <v>0</v>
      </c>
    </row>
    <row r="2369" spans="1:3">
      <c r="A2369" s="715" t="str">
        <f>IF(ster!$A$1=1,names!B2369,IF(ster!$A$1=2,names!C2369))</f>
        <v>Zasoby 2P na ostatni dzień okresu (mln boe)</v>
      </c>
      <c r="B2369" s="715" t="s">
        <v>567</v>
      </c>
      <c r="C2369" s="715" t="s">
        <v>1251</v>
      </c>
    </row>
    <row r="2370" spans="1:3">
      <c r="A2370" s="715" t="str">
        <f>IF(ster!$A$1=1,names!B2370,IF(ster!$A$1=2,names!C2370))</f>
        <v>Polska</v>
      </c>
      <c r="B2370" s="715" t="s">
        <v>10</v>
      </c>
      <c r="C2370" s="715" t="s">
        <v>884</v>
      </c>
    </row>
    <row r="2371" spans="1:3">
      <c r="A2371" s="715" t="str">
        <f>IF(ster!$A$1=1,names!B2371,IF(ster!$A$1=2,names!C2371))</f>
        <v>Norwegia</v>
      </c>
      <c r="B2371" s="715" t="s">
        <v>596</v>
      </c>
      <c r="C2371" s="715" t="s">
        <v>1252</v>
      </c>
    </row>
    <row r="2372" spans="1:3">
      <c r="A2372" s="715" t="str">
        <f>IF(ster!$A$1=1,names!B2372,IF(ster!$A$1=2,names!C2372))</f>
        <v>Kanada</v>
      </c>
      <c r="B2372" s="715" t="s">
        <v>566</v>
      </c>
      <c r="C2372" s="715" t="s">
        <v>1253</v>
      </c>
    </row>
    <row r="2373" spans="1:3">
      <c r="A2373" s="715" t="str">
        <f>IF(ster!$A$1=1,names!B2373,IF(ster!$A$1=2,names!C2373))</f>
        <v>Pakistan</v>
      </c>
      <c r="B2373" s="715" t="s">
        <v>656</v>
      </c>
      <c r="C2373" s="715" t="s">
        <v>656</v>
      </c>
    </row>
    <row r="2374" spans="1:3">
      <c r="A2374" s="715" t="str">
        <f>IF(ster!$A$1=1,names!B2374,IF(ster!$A$1=2,names!C2374))</f>
        <v>Litwa</v>
      </c>
      <c r="B2374" s="715" t="s">
        <v>13</v>
      </c>
      <c r="C2374" s="715" t="s">
        <v>885</v>
      </c>
    </row>
    <row r="2375" spans="1:3">
      <c r="A2375" s="715">
        <f>IF(ster!$A$1=1,names!B2375,IF(ster!$A$1=2,names!C2375))</f>
        <v>0</v>
      </c>
    </row>
    <row r="2376" spans="1:3">
      <c r="A2376" s="715" t="str">
        <f>IF(ster!$A$1=1,names!B2376,IF(ster!$A$1=2,names!C2376))</f>
        <v>ROPA NAFTOWA i KONDENSAT</v>
      </c>
      <c r="B2376" s="715" t="s">
        <v>687</v>
      </c>
      <c r="C2376" s="715" t="s">
        <v>1254</v>
      </c>
    </row>
    <row r="2377" spans="1:3">
      <c r="A2377" s="715">
        <f>IF(ster!$A$1=1,names!B2377,IF(ster!$A$1=2,names!C2377))</f>
        <v>0</v>
      </c>
    </row>
    <row r="2378" spans="1:3">
      <c r="A2378" s="715" t="str">
        <f>IF(ster!$A$1=1,names!B2378,IF(ster!$A$1=2,names!C2378))</f>
        <v>Produkcja ropy, kondensatu, NGL (w tys. boe)</v>
      </c>
      <c r="B2378" s="715" t="s">
        <v>727</v>
      </c>
      <c r="C2378" s="715" t="s">
        <v>1255</v>
      </c>
    </row>
    <row r="2379" spans="1:3">
      <c r="A2379" s="715" t="str">
        <f>IF(ster!$A$1=1,names!B2379,IF(ster!$A$1=2,names!C2379))</f>
        <v>Polska</v>
      </c>
      <c r="B2379" s="715" t="s">
        <v>10</v>
      </c>
      <c r="C2379" s="715" t="s">
        <v>884</v>
      </c>
    </row>
    <row r="2380" spans="1:3">
      <c r="A2380" s="715" t="str">
        <f>IF(ster!$A$1=1,names!B2380,IF(ster!$A$1=2,names!C2380))</f>
        <v>Norwegia</v>
      </c>
      <c r="B2380" s="715" t="s">
        <v>596</v>
      </c>
      <c r="C2380" s="715" t="s">
        <v>1252</v>
      </c>
    </row>
    <row r="2381" spans="1:3">
      <c r="A2381" s="715" t="str">
        <f>IF(ster!$A$1=1,names!B2381,IF(ster!$A$1=2,names!C2381))</f>
        <v>Kanada</v>
      </c>
      <c r="B2381" s="715" t="s">
        <v>566</v>
      </c>
      <c r="C2381" s="715" t="s">
        <v>1253</v>
      </c>
    </row>
    <row r="2382" spans="1:3">
      <c r="A2382" s="715" t="str">
        <f>IF(ster!$A$1=1,names!B2382,IF(ster!$A$1=2,names!C2382))</f>
        <v>Litwa</v>
      </c>
      <c r="B2382" s="715" t="s">
        <v>13</v>
      </c>
      <c r="C2382" s="715" t="s">
        <v>885</v>
      </c>
    </row>
    <row r="2383" spans="1:3">
      <c r="A2383" s="715" t="str">
        <f>IF(ster!$A$1=1,names!B2383,IF(ster!$A$1=2,names!C2383))</f>
        <v>Pakistan</v>
      </c>
      <c r="B2383" s="715" t="s">
        <v>656</v>
      </c>
      <c r="C2383" s="715" t="s">
        <v>656</v>
      </c>
    </row>
    <row r="2384" spans="1:3">
      <c r="A2384" s="715">
        <f>IF(ster!$A$1=1,names!B2384,IF(ster!$A$1=2,names!C2384))</f>
        <v>0</v>
      </c>
    </row>
    <row r="2385" spans="1:3">
      <c r="A2385" s="715" t="str">
        <f>IF(ster!$A$1=1,names!B2385,IF(ster!$A$1=2,names!C2385))</f>
        <v>GAZ ZIEMNY</v>
      </c>
      <c r="B2385" s="715" t="s">
        <v>641</v>
      </c>
      <c r="C2385" s="715" t="s">
        <v>1257</v>
      </c>
    </row>
    <row r="2386" spans="1:3">
      <c r="A2386" s="715">
        <f>IF(ster!$A$1=1,names!B2386,IF(ster!$A$1=2,names!C2386))</f>
        <v>0</v>
      </c>
    </row>
    <row r="2387" spans="1:3">
      <c r="A2387" s="715" t="str">
        <f>IF(ster!$A$1=1,names!B2387,IF(ster!$A$1=2,names!C2387))</f>
        <v>Produkcja gazu (w tys. boe)</v>
      </c>
      <c r="B2387" s="715" t="s">
        <v>729</v>
      </c>
      <c r="C2387" s="715" t="s">
        <v>1258</v>
      </c>
    </row>
    <row r="2388" spans="1:3">
      <c r="A2388" s="715" t="str">
        <f>IF(ster!$A$1=1,names!B2388,IF(ster!$A$1=2,names!C2388))</f>
        <v>Polska</v>
      </c>
      <c r="B2388" s="715" t="s">
        <v>10</v>
      </c>
      <c r="C2388" s="715" t="s">
        <v>884</v>
      </c>
    </row>
    <row r="2389" spans="1:3">
      <c r="A2389" s="715" t="str">
        <f>IF(ster!$A$1=1,names!B2389,IF(ster!$A$1=2,names!C2389))</f>
        <v>Norwegia</v>
      </c>
      <c r="B2389" s="715" t="s">
        <v>596</v>
      </c>
      <c r="C2389" s="715" t="s">
        <v>1252</v>
      </c>
    </row>
    <row r="2390" spans="1:3">
      <c r="A2390" s="715" t="str">
        <f>IF(ster!$A$1=1,names!B2390,IF(ster!$A$1=2,names!C2390))</f>
        <v>Kanada</v>
      </c>
      <c r="B2390" s="715" t="s">
        <v>566</v>
      </c>
      <c r="C2390" s="715" t="s">
        <v>1253</v>
      </c>
    </row>
    <row r="2391" spans="1:3">
      <c r="A2391" s="715" t="str">
        <f>IF(ster!$A$1=1,names!B2391,IF(ster!$A$1=2,names!C2391))</f>
        <v>Pakistan</v>
      </c>
      <c r="B2391" s="715" t="s">
        <v>656</v>
      </c>
      <c r="C2391" s="715" t="s">
        <v>656</v>
      </c>
    </row>
    <row r="2392" spans="1:3">
      <c r="A2392" s="715" t="str">
        <f>IF(ster!$A$1=1,names!B2392,IF(ster!$A$1=2,names!C2392))</f>
        <v>Produkcja gazu (TWh)</v>
      </c>
      <c r="B2392" s="715" t="s">
        <v>688</v>
      </c>
      <c r="C2392" s="715" t="s">
        <v>1259</v>
      </c>
    </row>
    <row r="2393" spans="1:3">
      <c r="A2393" s="715" t="str">
        <f>IF(ster!$A$1=1,names!B2393,IF(ster!$A$1=2,names!C2393))</f>
        <v>Polska</v>
      </c>
      <c r="B2393" s="715" t="s">
        <v>10</v>
      </c>
      <c r="C2393" s="715" t="s">
        <v>884</v>
      </c>
    </row>
    <row r="2394" spans="1:3">
      <c r="A2394" s="715" t="str">
        <f>IF(ster!$A$1=1,names!B2394,IF(ster!$A$1=2,names!C2394))</f>
        <v>Norwegia</v>
      </c>
      <c r="B2394" s="715" t="s">
        <v>596</v>
      </c>
      <c r="C2394" s="715" t="s">
        <v>1252</v>
      </c>
    </row>
    <row r="2395" spans="1:3">
      <c r="A2395" s="715" t="str">
        <f>IF(ster!$A$1=1,names!B2395,IF(ster!$A$1=2,names!C2395))</f>
        <v>Kanada</v>
      </c>
      <c r="B2395" s="715" t="s">
        <v>566</v>
      </c>
      <c r="C2395" s="715" t="s">
        <v>1253</v>
      </c>
    </row>
    <row r="2396" spans="1:3">
      <c r="A2396" s="715" t="str">
        <f>IF(ster!$A$1=1,names!B2396,IF(ster!$A$1=2,names!C2396))</f>
        <v>Pakistan</v>
      </c>
      <c r="B2396" s="715" t="s">
        <v>656</v>
      </c>
      <c r="C2396" s="715" t="s">
        <v>656</v>
      </c>
    </row>
    <row r="2397" spans="1:3">
      <c r="A2397" s="715">
        <f>IF(ster!$A$1=1,names!B2397,IF(ster!$A$1=2,names!C2397))</f>
        <v>0</v>
      </c>
    </row>
    <row r="2398" spans="1:3">
      <c r="A2398" s="715">
        <f>IF(ster!$A$1=1,names!B2398,IF(ster!$A$1=2,names!C2398))</f>
        <v>0</v>
      </c>
    </row>
    <row r="2399" spans="1:3">
      <c r="A2399" s="715">
        <f>IF(ster!$A$1=1,names!B2399,IF(ster!$A$1=2,names!C2399))</f>
        <v>0</v>
      </c>
    </row>
    <row r="2400" spans="1:3">
      <c r="A2400" s="715" t="str">
        <f>IF(ster!$A$1=1,names!B2400,IF(ster!$A$1=2,names!C2400))</f>
        <v>Import do Polski (TWh)</v>
      </c>
      <c r="B2400" s="715" t="s">
        <v>690</v>
      </c>
      <c r="C2400" s="715" t="s">
        <v>1267</v>
      </c>
    </row>
    <row r="2401" spans="1:3">
      <c r="A2401" s="715" t="str">
        <f>IF(ster!$A$1=1,names!B2401,IF(ster!$A$1=2,names!C2401))</f>
        <v xml:space="preserve">   - z kierunku wschodniego, w tym:</v>
      </c>
      <c r="B2401" s="715" t="s">
        <v>620</v>
      </c>
      <c r="C2401" s="715" t="s">
        <v>1268</v>
      </c>
    </row>
    <row r="2402" spans="1:3">
      <c r="A2402" s="715" t="str">
        <f>IF(ster!$A$1=1,names!B2402,IF(ster!$A$1=2,names!C2402))</f>
        <v xml:space="preserve"> Litwa</v>
      </c>
      <c r="B2402" s="715" t="s">
        <v>652</v>
      </c>
      <c r="C2402" s="715" t="s">
        <v>885</v>
      </c>
    </row>
    <row r="2403" spans="1:3">
      <c r="A2403" s="715" t="str">
        <f>IF(ster!$A$1=1,names!B2403,IF(ster!$A$1=2,names!C2403))</f>
        <v xml:space="preserve"> Ukraina</v>
      </c>
      <c r="B2403" s="715" t="s">
        <v>748</v>
      </c>
      <c r="C2403" s="715" t="s">
        <v>1269</v>
      </c>
    </row>
    <row r="2404" spans="1:3">
      <c r="A2404" s="715" t="str">
        <f>IF(ster!$A$1=1,names!B2404,IF(ster!$A$1=2,names!C2404))</f>
        <v xml:space="preserve">   - LNG łącznie, w tym:</v>
      </c>
      <c r="B2404" s="715" t="s">
        <v>715</v>
      </c>
      <c r="C2404" s="715" t="s">
        <v>1270</v>
      </c>
    </row>
    <row r="2405" spans="1:3">
      <c r="A2405" s="715" t="str">
        <f>IF(ster!$A$1=1,names!B2405,IF(ster!$A$1=2,names!C2405))</f>
        <v xml:space="preserve">   - LNG (kontrakty bazujące na Henry hub)</v>
      </c>
      <c r="B2405" s="715" t="s">
        <v>691</v>
      </c>
      <c r="C2405" s="715" t="s">
        <v>1271</v>
      </c>
    </row>
    <row r="2406" spans="1:3">
      <c r="A2406" s="715" t="str">
        <f>IF(ster!$A$1=1,names!B2406,IF(ster!$A$1=2,names!C2406))</f>
        <v xml:space="preserve">   - Interkonektory</v>
      </c>
      <c r="B2406" s="715" t="s">
        <v>692</v>
      </c>
      <c r="C2406" s="715" t="s">
        <v>1272</v>
      </c>
    </row>
    <row r="2407" spans="1:3">
      <c r="A2407" s="715" t="str">
        <f>IF(ster!$A$1=1,names!B2407,IF(ster!$A$1=2,names!C2407))</f>
        <v>Sprzedaż poza Grupę ORLEN (TWh)</v>
      </c>
      <c r="B2407" s="715" t="s">
        <v>693</v>
      </c>
      <c r="C2407" s="715" t="s">
        <v>1276</v>
      </c>
    </row>
    <row r="2408" spans="1:3">
      <c r="A2408" s="715" t="str">
        <f>IF(ster!$A$1=1,names!B2408,IF(ster!$A$1=2,names!C2408))</f>
        <v xml:space="preserve"> - ORLEN S.A., Oddział Centralny PGNiG:</v>
      </c>
      <c r="B2408" s="715" t="s">
        <v>726</v>
      </c>
      <c r="C2408" s="715" t="s">
        <v>726</v>
      </c>
    </row>
    <row r="2409" spans="1:3">
      <c r="A2409" s="715" t="str">
        <f>IF(ster!$A$1=1,names!B2409,IF(ster!$A$1=2,names!C2409))</f>
        <v>Towarowa Giełda Energii</v>
      </c>
      <c r="B2409" s="715" t="s">
        <v>653</v>
      </c>
      <c r="C2409" s="715" t="s">
        <v>1277</v>
      </c>
    </row>
    <row r="2410" spans="1:3">
      <c r="A2410" s="715" t="str">
        <f>IF(ster!$A$1=1,names!B2410,IF(ster!$A$1=2,names!C2410))</f>
        <v>Dla przemysłu</v>
      </c>
      <c r="B2410" s="715" t="s">
        <v>694</v>
      </c>
      <c r="C2410" s="715" t="s">
        <v>1278</v>
      </c>
    </row>
    <row r="2411" spans="1:3">
      <c r="A2411" s="715" t="str">
        <f>IF(ster!$A$1=1,names!B2411,IF(ster!$A$1=2,names!C2411))</f>
        <v xml:space="preserve"> - PGNiG Obrót Detaliczny</v>
      </c>
      <c r="B2411" s="715" t="s">
        <v>625</v>
      </c>
      <c r="C2411" s="715" t="s">
        <v>625</v>
      </c>
    </row>
    <row r="2412" spans="1:3">
      <c r="A2412" s="715" t="str">
        <f>IF(ster!$A$1=1,names!B2412,IF(ster!$A$1=2,names!C2412))</f>
        <v xml:space="preserve"> PGNIG OD Taryfowy</v>
      </c>
      <c r="B2412" s="715" t="s">
        <v>695</v>
      </c>
      <c r="C2412" s="715" t="s">
        <v>695</v>
      </c>
    </row>
    <row r="2413" spans="1:3">
      <c r="A2413" s="715" t="str">
        <f>IF(ster!$A$1=1,names!B2413,IF(ster!$A$1=2,names!C2413))</f>
        <v>PGNiG OD Nie-taryfowy</v>
      </c>
      <c r="B2413" s="715" t="s">
        <v>696</v>
      </c>
      <c r="C2413" s="715" t="s">
        <v>696</v>
      </c>
    </row>
    <row r="2414" spans="1:3">
      <c r="A2414" s="715" t="str">
        <f>IF(ster!$A$1=1,names!B2414,IF(ster!$A$1=2,names!C2414))</f>
        <v xml:space="preserve"> - PGNiG Supply &amp; Trading </v>
      </c>
      <c r="B2414" s="715" t="s">
        <v>624</v>
      </c>
      <c r="C2414" s="715" t="s">
        <v>624</v>
      </c>
    </row>
    <row r="2415" spans="1:3">
      <c r="A2415" s="715" t="str">
        <f>IF(ster!$A$1=1,names!B2415,IF(ster!$A$1=2,names!C2415))</f>
        <v>Sprzedaż wewnętrz Grupy ORLEN (TWh)</v>
      </c>
      <c r="B2415" s="715" t="s">
        <v>697</v>
      </c>
      <c r="C2415" s="715" t="s">
        <v>1279</v>
      </c>
    </row>
    <row r="2416" spans="1:3">
      <c r="A2416" s="715" t="str">
        <f>IF(ster!$A$1=1,names!B2416,IF(ster!$A$1=2,names!C2416))</f>
        <v>do segmentu Upstream &amp; Supply</v>
      </c>
      <c r="B2416" s="715" t="s">
        <v>1814</v>
      </c>
      <c r="C2416" s="715" t="s">
        <v>1818</v>
      </c>
    </row>
    <row r="2417" spans="1:3">
      <c r="A2417" s="715" t="str">
        <f>IF(ster!$A$1=1,names!B2417,IF(ster!$A$1=2,names!C2417))</f>
        <v>do segmentu Downstream</v>
      </c>
      <c r="B2417" s="715" t="s">
        <v>1815</v>
      </c>
      <c r="C2417" s="715" t="s">
        <v>1681</v>
      </c>
    </row>
    <row r="2418" spans="1:3">
      <c r="A2418" s="715" t="str">
        <f>IF(ster!$A$1=1,names!B2418,IF(ster!$A$1=2,names!C2418))</f>
        <v>do segmentu Energy</v>
      </c>
      <c r="B2418" s="715" t="s">
        <v>1816</v>
      </c>
      <c r="C2418" s="715" t="s">
        <v>796</v>
      </c>
    </row>
    <row r="2419" spans="1:3">
      <c r="A2419" s="715" t="str">
        <f>IF(ster!$A$1=1,names!B2419,IF(ster!$A$1=2,names!C2419))</f>
        <v>do segmentu Consumer &amp; Products</v>
      </c>
      <c r="B2419" s="715" t="s">
        <v>1817</v>
      </c>
      <c r="C2419" s="715" t="s">
        <v>1819</v>
      </c>
    </row>
    <row r="2420" spans="1:3">
      <c r="A2420" s="715" t="str">
        <f>IF(ster!$A$1=1,names!B2420,IF(ster!$A$1=2,names!C2420))</f>
        <v>Wolumen dystrybucji gazów (TWh)</v>
      </c>
      <c r="B2420" s="715" t="s">
        <v>740</v>
      </c>
      <c r="C2420" s="715" t="s">
        <v>1282</v>
      </c>
    </row>
    <row r="2421" spans="1:3">
      <c r="A2421" s="715" t="str">
        <f>IF(ster!$A$1=1,names!B2421,IF(ster!$A$1=2,names!C2421))</f>
        <v>Wypełnienie magazynów Grupa ORLEN (TWh)</v>
      </c>
      <c r="B2421" s="715" t="s">
        <v>741</v>
      </c>
      <c r="C2421" s="715" t="s">
        <v>1284</v>
      </c>
    </row>
    <row r="2422" spans="1:3">
      <c r="A2422" s="715">
        <f>IF(ster!$A$1=1,names!B2422,IF(ster!$A$1=2,names!C2422))</f>
        <v>0</v>
      </c>
    </row>
    <row r="2423" spans="1:3">
      <c r="A2423" s="715" t="str">
        <f>IF(ster!$A$1=1,names!B2423,IF(ster!$A$1=2,names!C2423))</f>
        <v>Dane operacyjne Energy</v>
      </c>
      <c r="B2423" s="715" t="s">
        <v>1813</v>
      </c>
      <c r="C2423" s="715" t="s">
        <v>2012</v>
      </c>
    </row>
    <row r="2424" spans="1:3">
      <c r="A2424" s="715">
        <f>IF(ster!$A$1=1,names!B2424,IF(ster!$A$1=2,names!C2424))</f>
        <v>0</v>
      </c>
    </row>
    <row r="2425" spans="1:3">
      <c r="A2425" s="715" t="str">
        <f>IF(ster!$A$1=1,names!B2425,IF(ster!$A$1=2,names!C2425))</f>
        <v>ENERGIA ELEKTRYCZNA</v>
      </c>
      <c r="B2425" s="715" t="s">
        <v>699</v>
      </c>
      <c r="C2425" s="715" t="s">
        <v>1287</v>
      </c>
    </row>
    <row r="2426" spans="1:3">
      <c r="A2426" s="715">
        <f>IF(ster!$A$1=1,names!B2426,IF(ster!$A$1=2,names!C2426))</f>
        <v>0</v>
      </c>
    </row>
    <row r="2427" spans="1:3">
      <c r="A2427" s="715" t="str">
        <f>IF(ster!$A$1=1,names!B2427,IF(ster!$A$1=2,names!C2427))</f>
        <v>Moc zainstalowana (GWe)</v>
      </c>
      <c r="B2427" s="715" t="s">
        <v>700</v>
      </c>
      <c r="C2427" s="715" t="s">
        <v>1288</v>
      </c>
    </row>
    <row r="2428" spans="1:3">
      <c r="A2428" s="715" t="str">
        <f>IF(ster!$A$1=1,names!B2428,IF(ster!$A$1=2,names!C2428))</f>
        <v xml:space="preserve">  OZE</v>
      </c>
      <c r="B2428" s="715" t="s">
        <v>607</v>
      </c>
      <c r="C2428" s="715" t="s">
        <v>1289</v>
      </c>
    </row>
    <row r="2429" spans="1:3">
      <c r="A2429" s="715" t="str">
        <f>IF(ster!$A$1=1,names!B2429,IF(ster!$A$1=2,names!C2429))</f>
        <v xml:space="preserve">  Gaz</v>
      </c>
      <c r="B2429" s="715" t="s">
        <v>606</v>
      </c>
      <c r="C2429" s="715" t="s">
        <v>1290</v>
      </c>
    </row>
    <row r="2430" spans="1:3">
      <c r="A2430" s="715" t="str">
        <f>IF(ster!$A$1=1,names!B2430,IF(ster!$A$1=2,names!C2430))</f>
        <v xml:space="preserve">  Olej opałowy</v>
      </c>
      <c r="B2430" s="715" t="s">
        <v>609</v>
      </c>
      <c r="C2430" s="715" t="s">
        <v>1291</v>
      </c>
    </row>
    <row r="2431" spans="1:3">
      <c r="A2431" s="715" t="str">
        <f>IF(ster!$A$1=1,names!B2431,IF(ster!$A$1=2,names!C2431))</f>
        <v xml:space="preserve">  Węgiel</v>
      </c>
      <c r="B2431" s="715" t="s">
        <v>610</v>
      </c>
      <c r="C2431" s="715" t="s">
        <v>1292</v>
      </c>
    </row>
    <row r="2432" spans="1:3">
      <c r="A2432" s="715" t="str">
        <f>IF(ster!$A$1=1,names!B2432,IF(ster!$A$1=2,names!C2432))</f>
        <v xml:space="preserve">  Pozostałe</v>
      </c>
      <c r="B2432" s="715" t="s">
        <v>608</v>
      </c>
      <c r="C2432" s="715" t="s">
        <v>917</v>
      </c>
    </row>
    <row r="2433" spans="1:3">
      <c r="A2433" s="715" t="str">
        <f>IF(ster!$A$1=1,names!B2433,IF(ster!$A$1=2,names!C2433))</f>
        <v>Produkcja (TWh)</v>
      </c>
      <c r="B2433" s="715" t="s">
        <v>701</v>
      </c>
      <c r="C2433" s="715" t="s">
        <v>1293</v>
      </c>
    </row>
    <row r="2434" spans="1:3">
      <c r="A2434" s="715" t="str">
        <f>IF(ster!$A$1=1,names!B2434,IF(ster!$A$1=2,names!C2434))</f>
        <v xml:space="preserve">  OZE</v>
      </c>
      <c r="B2434" s="715" t="s">
        <v>607</v>
      </c>
      <c r="C2434" s="715" t="s">
        <v>1289</v>
      </c>
    </row>
    <row r="2435" spans="1:3">
      <c r="A2435" s="715" t="str">
        <f>IF(ster!$A$1=1,names!B2435,IF(ster!$A$1=2,names!C2435))</f>
        <v xml:space="preserve">  Gaz</v>
      </c>
      <c r="B2435" s="715" t="s">
        <v>606</v>
      </c>
      <c r="C2435" s="715" t="s">
        <v>1290</v>
      </c>
    </row>
    <row r="2436" spans="1:3">
      <c r="A2436" s="715" t="str">
        <f>IF(ster!$A$1=1,names!B2436,IF(ster!$A$1=2,names!C2436))</f>
        <v xml:space="preserve">  Wielopaliwowe, głównie olej opałowy</v>
      </c>
      <c r="B2436" s="715" t="s">
        <v>718</v>
      </c>
      <c r="C2436" s="715" t="s">
        <v>1291</v>
      </c>
    </row>
    <row r="2437" spans="1:3">
      <c r="A2437" s="715" t="str">
        <f>IF(ster!$A$1=1,names!B2437,IF(ster!$A$1=2,names!C2437))</f>
        <v xml:space="preserve">  Węgiel</v>
      </c>
      <c r="B2437" s="715" t="s">
        <v>610</v>
      </c>
      <c r="C2437" s="715" t="s">
        <v>1292</v>
      </c>
    </row>
    <row r="2438" spans="1:3">
      <c r="A2438" s="715" t="str">
        <f>IF(ster!$A$1=1,names!B2438,IF(ster!$A$1=2,names!C2438))</f>
        <v xml:space="preserve">  Pozostałe</v>
      </c>
      <c r="B2438" s="715" t="s">
        <v>608</v>
      </c>
      <c r="C2438" s="715" t="s">
        <v>917</v>
      </c>
    </row>
    <row r="2439" spans="1:3">
      <c r="A2439" s="715" t="str">
        <f>IF(ster!$A$1=1,names!B2439,IF(ster!$A$1=2,names!C2439))</f>
        <v xml:space="preserve">Sprzedaż poza Grupę ORLEN (TWh) </v>
      </c>
      <c r="B2439" s="715" t="s">
        <v>702</v>
      </c>
      <c r="C2439" s="715" t="s">
        <v>1294</v>
      </c>
    </row>
    <row r="2440" spans="1:3">
      <c r="A2440" s="715" t="str">
        <f>IF(ster!$A$1=1,names!B2440,IF(ster!$A$1=2,names!C2440))</f>
        <v xml:space="preserve"> - na rynku detalicznym </v>
      </c>
      <c r="B2440" s="715" t="s">
        <v>703</v>
      </c>
      <c r="C2440" s="715" t="s">
        <v>1295</v>
      </c>
    </row>
    <row r="2441" spans="1:3">
      <c r="A2441" s="715" t="str">
        <f>IF(ster!$A$1=1,names!B2441,IF(ster!$A$1=2,names!C2441))</f>
        <v xml:space="preserve"> - na rynku hurtowym</v>
      </c>
      <c r="B2441" s="715" t="s">
        <v>704</v>
      </c>
      <c r="C2441" s="715" t="s">
        <v>1296</v>
      </c>
    </row>
    <row r="2442" spans="1:3">
      <c r="A2442" s="715" t="str">
        <f>IF(ster!$A$1=1,names!B2442,IF(ster!$A$1=2,names!C2442))</f>
        <v>Dystrybucja (TWh)</v>
      </c>
      <c r="B2442" s="715" t="s">
        <v>698</v>
      </c>
      <c r="C2442" s="715" t="s">
        <v>1282</v>
      </c>
    </row>
    <row r="2443" spans="1:3">
      <c r="A2443" s="715">
        <f>IF(ster!$A$1=1,names!B2443,IF(ster!$A$1=2,names!C2443))</f>
        <v>0</v>
      </c>
    </row>
    <row r="2444" spans="1:3">
      <c r="A2444" s="715" t="str">
        <f>IF(ster!$A$1=1,names!B2444,IF(ster!$A$1=2,names!C2444))</f>
        <v>CIEPŁO</v>
      </c>
      <c r="B2444" s="715" t="s">
        <v>706</v>
      </c>
      <c r="C2444" s="715" t="s">
        <v>1298</v>
      </c>
    </row>
    <row r="2445" spans="1:3">
      <c r="A2445" s="715">
        <f>IF(ster!$A$1=1,names!B2445,IF(ster!$A$1=2,names!C2445))</f>
        <v>0</v>
      </c>
    </row>
    <row r="2446" spans="1:3">
      <c r="A2446" s="715" t="str">
        <f>IF(ster!$A$1=1,names!B2446,IF(ster!$A$1=2,names!C2446))</f>
        <v>Moc zainstalowana (GWt)</v>
      </c>
      <c r="B2446" s="715" t="s">
        <v>713</v>
      </c>
      <c r="C2446" s="715" t="s">
        <v>1299</v>
      </c>
    </row>
    <row r="2447" spans="1:3">
      <c r="A2447" s="715" t="str">
        <f>IF(ster!$A$1=1,names!B2447,IF(ster!$A$1=2,names!C2447))</f>
        <v>Produkcja ciepła użytkowego (PJ)</v>
      </c>
      <c r="B2447" s="715" t="s">
        <v>714</v>
      </c>
      <c r="C2447" s="715" t="s">
        <v>1300</v>
      </c>
    </row>
    <row r="2448" spans="1:3">
      <c r="A2448" s="715" t="str">
        <f>IF(ster!$A$1=1,names!B2448,IF(ster!$A$1=2,names!C2448))</f>
        <v>Sprzedaż poza Grupę ORLEN (PJ)</v>
      </c>
      <c r="B2448" s="715" t="s">
        <v>707</v>
      </c>
      <c r="C2448" s="715" t="s">
        <v>1301</v>
      </c>
    </row>
  </sheetData>
  <autoFilter ref="A1:C2290" xr:uid="{00000000-0009-0000-0000-000000000000}"/>
  <conditionalFormatting sqref="H2:H60">
    <cfRule type="cellIs" dxfId="131" priority="1" operator="equal">
      <formula>TRUE</formula>
    </cfRule>
  </conditionalFormatting>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DC07B-894B-4113-BC6C-4025E4038090}">
  <sheetPr>
    <tabColor rgb="FFFF0000"/>
    <pageSetUpPr fitToPage="1"/>
  </sheetPr>
  <dimension ref="B2:L23"/>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55.28515625" style="16" customWidth="1"/>
    <col min="3" max="5" width="8.28515625" customWidth="1"/>
    <col min="6" max="6" width="8.28515625" customWidth="1" outlineLevel="1"/>
    <col min="7" max="7" width="9.28515625" customWidth="1" outlineLevel="1"/>
    <col min="8" max="10" width="8.28515625" customWidth="1"/>
    <col min="11" max="11" width="8.28515625" customWidth="1" outlineLevel="1"/>
    <col min="12" max="12" width="9.28515625" customWidth="1" outlineLevel="1"/>
  </cols>
  <sheetData>
    <row r="2" spans="2:12" s="24" customFormat="1" ht="38.25" customHeight="1">
      <c r="B2" s="874" t="str">
        <f>names!A2310</f>
        <v>Upstream &amp; Supply
(mln PLN)</v>
      </c>
      <c r="C2" s="894" t="str">
        <f>names!$A2095</f>
        <v>I kw. 
2024*</v>
      </c>
      <c r="D2" s="894" t="str">
        <f>names!$A2096</f>
        <v>II kw. 
2024*</v>
      </c>
      <c r="E2" s="894" t="str">
        <f>names!$A2097</f>
        <v>III kw. 
2024*</v>
      </c>
      <c r="F2" s="894" t="str">
        <f>names!$A2098</f>
        <v>IV kw. 
2024*</v>
      </c>
      <c r="G2" s="894" t="str">
        <f>names!$A2099</f>
        <v>12 m-cy 2024*</v>
      </c>
      <c r="H2" s="894" t="str">
        <f>names!$A174</f>
        <v>I kw. 
2025</v>
      </c>
      <c r="I2" s="894" t="str">
        <f>names!$A175</f>
        <v>II kw. 
2025</v>
      </c>
      <c r="J2" s="894" t="str">
        <f>names!$A176</f>
        <v>III kw. 
2025</v>
      </c>
      <c r="K2" s="894" t="str">
        <f>names!$A177</f>
        <v>IV kw. 
2025</v>
      </c>
      <c r="L2" s="894" t="str">
        <f>names!$A178</f>
        <v>12 m-cy 2025</v>
      </c>
    </row>
    <row r="3" spans="2:12" s="1" customFormat="1">
      <c r="B3" s="875" t="str">
        <f>names!A457</f>
        <v>Przychody ze sprzedaży</v>
      </c>
      <c r="C3" s="876">
        <v>48137</v>
      </c>
      <c r="D3" s="876">
        <v>38664</v>
      </c>
      <c r="E3" s="876">
        <v>39939</v>
      </c>
      <c r="F3" s="876">
        <v>42522</v>
      </c>
      <c r="G3" s="877">
        <v>169262</v>
      </c>
      <c r="H3" s="876">
        <v>40904</v>
      </c>
      <c r="I3" s="876">
        <v>32910</v>
      </c>
      <c r="J3" s="876">
        <v>33309</v>
      </c>
      <c r="K3" s="876">
        <v>37276</v>
      </c>
      <c r="L3" s="877">
        <v>144399</v>
      </c>
    </row>
    <row r="4" spans="2:12" s="1" customFormat="1">
      <c r="B4" s="887" t="str">
        <f>names!A458</f>
        <v>Sprzedaż zewnętrzna</v>
      </c>
      <c r="C4" s="888">
        <v>19260</v>
      </c>
      <c r="D4" s="888">
        <v>11412</v>
      </c>
      <c r="E4" s="888">
        <v>12775</v>
      </c>
      <c r="F4" s="888">
        <v>15732</v>
      </c>
      <c r="G4" s="889">
        <v>59179</v>
      </c>
      <c r="H4" s="888">
        <v>16786</v>
      </c>
      <c r="I4" s="888">
        <v>11018</v>
      </c>
      <c r="J4" s="888">
        <v>10307</v>
      </c>
      <c r="K4" s="888">
        <v>15662</v>
      </c>
      <c r="L4" s="889">
        <v>53773</v>
      </c>
    </row>
    <row r="5" spans="2:12" s="1" customFormat="1">
      <c r="B5" s="890" t="str">
        <f>names!A459</f>
        <v>Sprzedaż między segmentami</v>
      </c>
      <c r="C5" s="891">
        <v>28877</v>
      </c>
      <c r="D5" s="891">
        <v>27252</v>
      </c>
      <c r="E5" s="891">
        <v>27164</v>
      </c>
      <c r="F5" s="891">
        <v>26790</v>
      </c>
      <c r="G5" s="892">
        <v>110083</v>
      </c>
      <c r="H5" s="891">
        <v>24118</v>
      </c>
      <c r="I5" s="891">
        <v>21892</v>
      </c>
      <c r="J5" s="891">
        <v>23002</v>
      </c>
      <c r="K5" s="891">
        <v>21614</v>
      </c>
      <c r="L5" s="892">
        <v>90626</v>
      </c>
    </row>
    <row r="6" spans="2:12" s="1" customFormat="1">
      <c r="B6" s="878" t="str">
        <f>names!A460</f>
        <v>Koszty operacyjne ogółem</v>
      </c>
      <c r="C6" s="879">
        <v>-46924</v>
      </c>
      <c r="D6" s="879">
        <v>-40960</v>
      </c>
      <c r="E6" s="879">
        <v>-35456</v>
      </c>
      <c r="F6" s="879">
        <v>-35412</v>
      </c>
      <c r="G6" s="880">
        <v>-158752</v>
      </c>
      <c r="H6" s="879">
        <v>-37073</v>
      </c>
      <c r="I6" s="879">
        <v>-31065</v>
      </c>
      <c r="J6" s="879">
        <v>-31458</v>
      </c>
      <c r="K6" s="879">
        <v>-34192</v>
      </c>
      <c r="L6" s="880">
        <v>-133788</v>
      </c>
    </row>
    <row r="7" spans="2:12" s="1" customFormat="1">
      <c r="B7" s="884" t="str">
        <f>names!A461</f>
        <v>Pozostałe przychody operacyjne</v>
      </c>
      <c r="C7" s="891">
        <v>431</v>
      </c>
      <c r="D7" s="891">
        <v>49</v>
      </c>
      <c r="E7" s="891">
        <v>657</v>
      </c>
      <c r="F7" s="891">
        <v>4737</v>
      </c>
      <c r="G7" s="892">
        <v>5369</v>
      </c>
      <c r="H7" s="891">
        <v>583</v>
      </c>
      <c r="I7" s="891">
        <v>1115</v>
      </c>
      <c r="J7" s="891">
        <v>505</v>
      </c>
      <c r="K7" s="891">
        <v>1251</v>
      </c>
      <c r="L7" s="892">
        <v>3439</v>
      </c>
    </row>
    <row r="8" spans="2:12" s="1" customFormat="1">
      <c r="B8" s="884" t="str">
        <f>names!A462</f>
        <v>Pozostałe koszty operacyjne</v>
      </c>
      <c r="C8" s="891">
        <v>-451</v>
      </c>
      <c r="D8" s="891">
        <v>-199</v>
      </c>
      <c r="E8" s="891">
        <v>-293</v>
      </c>
      <c r="F8" s="891">
        <v>-2990</v>
      </c>
      <c r="G8" s="892">
        <v>-3428</v>
      </c>
      <c r="H8" s="891">
        <v>-398</v>
      </c>
      <c r="I8" s="891">
        <v>-1393</v>
      </c>
      <c r="J8" s="891">
        <v>-374</v>
      </c>
      <c r="K8" s="891">
        <v>-2379</v>
      </c>
      <c r="L8" s="892">
        <v>-4529</v>
      </c>
    </row>
    <row r="9" spans="2:12" s="1" customFormat="1" ht="25.5">
      <c r="B9" s="893" t="str">
        <f>names!A464</f>
        <v>(Strata)/odwrócenie straty z tytułu utraty wartości należności handlowych (w tym odsetek od należności handlowych)</v>
      </c>
      <c r="C9" s="888">
        <v>-28</v>
      </c>
      <c r="D9" s="888">
        <v>8</v>
      </c>
      <c r="E9" s="888">
        <v>-56</v>
      </c>
      <c r="F9" s="888">
        <v>-29</v>
      </c>
      <c r="G9" s="889">
        <v>-105</v>
      </c>
      <c r="H9" s="888">
        <v>-13</v>
      </c>
      <c r="I9" s="888">
        <v>-27</v>
      </c>
      <c r="J9" s="888">
        <v>-15</v>
      </c>
      <c r="K9" s="888">
        <v>1</v>
      </c>
      <c r="L9" s="889">
        <v>-54</v>
      </c>
    </row>
    <row r="10" spans="2:12" s="1" customFormat="1" ht="21" customHeight="1">
      <c r="B10" s="881" t="str">
        <f>names!A2307</f>
        <v>EBIT</v>
      </c>
      <c r="C10" s="882">
        <v>1165</v>
      </c>
      <c r="D10" s="882">
        <v>-2438</v>
      </c>
      <c r="E10" s="882">
        <v>4791</v>
      </c>
      <c r="F10" s="882">
        <v>8828</v>
      </c>
      <c r="G10" s="883">
        <v>12346</v>
      </c>
      <c r="H10" s="882">
        <v>4003</v>
      </c>
      <c r="I10" s="882">
        <v>1540</v>
      </c>
      <c r="J10" s="882">
        <v>1967</v>
      </c>
      <c r="K10" s="882">
        <v>1957</v>
      </c>
      <c r="L10" s="883">
        <v>9467</v>
      </c>
    </row>
    <row r="11" spans="2:12" s="1" customFormat="1" ht="21" customHeight="1">
      <c r="B11" s="881" t="str">
        <f>names!A2263</f>
        <v>Amortyzacja</v>
      </c>
      <c r="C11" s="882">
        <v>1431</v>
      </c>
      <c r="D11" s="882">
        <v>1494</v>
      </c>
      <c r="E11" s="882">
        <v>1315</v>
      </c>
      <c r="F11" s="882">
        <v>1515</v>
      </c>
      <c r="G11" s="883">
        <v>5755</v>
      </c>
      <c r="H11" s="882">
        <v>1286</v>
      </c>
      <c r="I11" s="882">
        <v>1300</v>
      </c>
      <c r="J11" s="882">
        <v>1290</v>
      </c>
      <c r="K11" s="882">
        <v>1511</v>
      </c>
      <c r="L11" s="883">
        <v>5387</v>
      </c>
    </row>
    <row r="12" spans="2:12" s="1" customFormat="1" ht="21" customHeight="1">
      <c r="B12" s="881" t="str">
        <f>names!A2306</f>
        <v xml:space="preserve">EBITDA </v>
      </c>
      <c r="C12" s="882">
        <f t="shared" ref="C12:G12" si="0">C10+C11</f>
        <v>2596</v>
      </c>
      <c r="D12" s="882">
        <f t="shared" si="0"/>
        <v>-944</v>
      </c>
      <c r="E12" s="882">
        <f t="shared" si="0"/>
        <v>6106</v>
      </c>
      <c r="F12" s="882">
        <f t="shared" si="0"/>
        <v>10343</v>
      </c>
      <c r="G12" s="883">
        <f t="shared" si="0"/>
        <v>18101</v>
      </c>
      <c r="H12" s="882">
        <f>H10+H11</f>
        <v>5289</v>
      </c>
      <c r="I12" s="882">
        <f>I10+I11</f>
        <v>2840</v>
      </c>
      <c r="J12" s="882">
        <f t="shared" ref="J12:L12" si="1">J10+J11</f>
        <v>3257</v>
      </c>
      <c r="K12" s="882">
        <f t="shared" si="1"/>
        <v>3468</v>
      </c>
      <c r="L12" s="883">
        <f t="shared" si="1"/>
        <v>14854</v>
      </c>
    </row>
    <row r="13" spans="2:12" s="1" customFormat="1" ht="21" customHeight="1">
      <c r="B13" s="881" t="str">
        <f>names!A2303</f>
        <v>Efekt LIFO</v>
      </c>
      <c r="C13" s="882">
        <v>-24</v>
      </c>
      <c r="D13" s="882">
        <v>3</v>
      </c>
      <c r="E13" s="882">
        <v>-169</v>
      </c>
      <c r="F13" s="882">
        <v>-45</v>
      </c>
      <c r="G13" s="883">
        <v>-235</v>
      </c>
      <c r="H13" s="882">
        <v>70</v>
      </c>
      <c r="I13" s="882">
        <v>-128</v>
      </c>
      <c r="J13" s="882">
        <v>-33</v>
      </c>
      <c r="K13" s="882">
        <v>-177</v>
      </c>
      <c r="L13" s="883">
        <v>-268</v>
      </c>
    </row>
    <row r="14" spans="2:12" s="1" customFormat="1" ht="21" customHeight="1">
      <c r="B14" s="881" t="str">
        <f>names!A2302</f>
        <v>EBITDA LIFO</v>
      </c>
      <c r="C14" s="882">
        <f t="shared" ref="C14:E14" si="2">C12-C13</f>
        <v>2620</v>
      </c>
      <c r="D14" s="882">
        <f t="shared" si="2"/>
        <v>-947</v>
      </c>
      <c r="E14" s="882">
        <f t="shared" si="2"/>
        <v>6275</v>
      </c>
      <c r="F14" s="882">
        <f t="shared" ref="F14:G14" si="3">F12-F13</f>
        <v>10388</v>
      </c>
      <c r="G14" s="883">
        <f t="shared" si="3"/>
        <v>18336</v>
      </c>
      <c r="H14" s="882">
        <f>H12-H13</f>
        <v>5219</v>
      </c>
      <c r="I14" s="882">
        <f>I12-I13</f>
        <v>2968</v>
      </c>
      <c r="J14" s="882">
        <f t="shared" ref="J14:L14" si="4">J12-J13</f>
        <v>3290</v>
      </c>
      <c r="K14" s="882">
        <f t="shared" si="4"/>
        <v>3645</v>
      </c>
      <c r="L14" s="883">
        <f t="shared" si="4"/>
        <v>15122</v>
      </c>
    </row>
    <row r="15" spans="2:12" s="1" customFormat="1" ht="21" customHeight="1">
      <c r="B15" s="881" t="str">
        <f>names!A2259</f>
        <v>Odpisy aktualizujące wartość aktywów trwałych</v>
      </c>
      <c r="C15" s="882">
        <v>-43</v>
      </c>
      <c r="D15" s="882">
        <v>-31</v>
      </c>
      <c r="E15" s="882">
        <f>E14-E16</f>
        <v>-182</v>
      </c>
      <c r="F15" s="882">
        <f>F14-F16</f>
        <v>99</v>
      </c>
      <c r="G15" s="883">
        <f>G14-G16</f>
        <v>-157</v>
      </c>
      <c r="H15" s="882">
        <v>-137</v>
      </c>
      <c r="I15" s="882">
        <v>-376</v>
      </c>
      <c r="J15" s="882">
        <f>J14-J16</f>
        <v>-11</v>
      </c>
      <c r="K15" s="882">
        <f t="shared" ref="K15:L15" si="5">K14-K16</f>
        <v>-570</v>
      </c>
      <c r="L15" s="883">
        <f t="shared" si="5"/>
        <v>-1094</v>
      </c>
    </row>
    <row r="16" spans="2:12" s="1" customFormat="1" ht="21" customHeight="1">
      <c r="B16" s="881" t="str">
        <f>names!A2311</f>
        <v>EBITDA LIFO przed odpisami</v>
      </c>
      <c r="C16" s="882">
        <v>2663</v>
      </c>
      <c r="D16" s="882">
        <v>-916</v>
      </c>
      <c r="E16" s="882">
        <v>6457</v>
      </c>
      <c r="F16" s="882">
        <v>10289</v>
      </c>
      <c r="G16" s="883">
        <v>18493</v>
      </c>
      <c r="H16" s="882">
        <v>5356</v>
      </c>
      <c r="I16" s="882">
        <v>3344</v>
      </c>
      <c r="J16" s="882">
        <v>3301</v>
      </c>
      <c r="K16" s="882">
        <v>4215</v>
      </c>
      <c r="L16" s="883">
        <v>16216</v>
      </c>
    </row>
    <row r="17" spans="2:12" s="1" customFormat="1" ht="21" customHeight="1">
      <c r="B17" s="881" t="str">
        <f>names!A2272</f>
        <v>Nakłady inwestycyjne</v>
      </c>
      <c r="C17" s="882">
        <v>1647</v>
      </c>
      <c r="D17" s="882">
        <v>1698</v>
      </c>
      <c r="E17" s="882">
        <v>1774</v>
      </c>
      <c r="F17" s="882">
        <v>2527</v>
      </c>
      <c r="G17" s="883">
        <v>7646</v>
      </c>
      <c r="H17" s="882">
        <v>2143</v>
      </c>
      <c r="I17" s="882">
        <v>2487</v>
      </c>
      <c r="J17" s="882">
        <v>1725</v>
      </c>
      <c r="K17" s="882">
        <v>2296</v>
      </c>
      <c r="L17" s="883">
        <v>8651</v>
      </c>
    </row>
    <row r="18" spans="2:12" s="1" customFormat="1" ht="11.25">
      <c r="B18" s="90"/>
      <c r="C18" s="873"/>
      <c r="D18" s="873"/>
      <c r="E18" s="873"/>
      <c r="F18" s="873"/>
      <c r="G18" s="873"/>
      <c r="H18" s="873"/>
      <c r="I18" s="873"/>
      <c r="J18" s="873"/>
      <c r="K18" s="873"/>
      <c r="L18" s="873"/>
    </row>
    <row r="19" spans="2:12" s="56" customFormat="1" ht="11.25" customHeight="1">
      <c r="B19" s="20" t="str">
        <f>names!A2279</f>
        <v>*) Dane przekształcone</v>
      </c>
      <c r="C19" s="131"/>
      <c r="D19" s="131"/>
      <c r="E19" s="131"/>
      <c r="F19" s="131"/>
      <c r="G19" s="131"/>
      <c r="H19" s="131"/>
      <c r="I19" s="131"/>
      <c r="J19" s="131"/>
      <c r="K19" s="131"/>
      <c r="L19" s="131"/>
    </row>
    <row r="20" spans="2:12">
      <c r="B20" s="7"/>
    </row>
    <row r="21" spans="2:12">
      <c r="B21" s="577"/>
      <c r="C21" s="577"/>
      <c r="D21" s="577"/>
      <c r="E21" s="577"/>
      <c r="F21" s="577"/>
      <c r="G21" s="577"/>
      <c r="H21" s="577"/>
      <c r="I21" s="577"/>
      <c r="J21" s="577"/>
      <c r="K21" s="577"/>
      <c r="L21" s="577"/>
    </row>
    <row r="22" spans="2:12">
      <c r="B22" s="768"/>
    </row>
    <row r="23" spans="2:12">
      <c r="C23" s="370"/>
      <c r="E23" s="370"/>
      <c r="H23" s="370"/>
      <c r="J23" s="370"/>
    </row>
  </sheetData>
  <conditionalFormatting sqref="B21:L21">
    <cfRule type="cellIs" dxfId="123"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EE4B2-2F92-402B-A0F1-4AF986E642B5}">
  <sheetPr>
    <tabColor rgb="FFFF0000"/>
    <pageSetUpPr fitToPage="1"/>
  </sheetPr>
  <dimension ref="B2:M23"/>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55.28515625" style="16" customWidth="1"/>
    <col min="3" max="5" width="8.28515625" customWidth="1"/>
    <col min="6" max="6" width="8.28515625" customWidth="1" outlineLevel="1"/>
    <col min="7" max="7" width="9.28515625" bestFit="1" customWidth="1" outlineLevel="1"/>
    <col min="8" max="10" width="8.28515625" customWidth="1"/>
    <col min="11" max="11" width="8.28515625" customWidth="1" outlineLevel="1"/>
    <col min="12" max="12" width="9.28515625" bestFit="1" customWidth="1" outlineLevel="1"/>
  </cols>
  <sheetData>
    <row r="2" spans="2:13" s="24" customFormat="1" ht="38.25" customHeight="1">
      <c r="B2" s="874" t="str">
        <f>names!A2312</f>
        <v>Downstream
(mln PLN)</v>
      </c>
      <c r="C2" s="894" t="str">
        <f>names!$A2095</f>
        <v>I kw. 
2024*</v>
      </c>
      <c r="D2" s="894" t="str">
        <f>names!$A2096</f>
        <v>II kw. 
2024*</v>
      </c>
      <c r="E2" s="894" t="str">
        <f>names!$A2097</f>
        <v>III kw. 
2024*</v>
      </c>
      <c r="F2" s="894" t="str">
        <f>names!$A2098</f>
        <v>IV kw. 
2024*</v>
      </c>
      <c r="G2" s="894" t="str">
        <f>names!$A2099</f>
        <v>12 m-cy 2024*</v>
      </c>
      <c r="H2" s="894" t="str">
        <f>names!$A174</f>
        <v>I kw. 
2025</v>
      </c>
      <c r="I2" s="894" t="str">
        <f>names!$A175</f>
        <v>II kw. 
2025</v>
      </c>
      <c r="J2" s="894" t="str">
        <f>names!$A176</f>
        <v>III kw. 
2025</v>
      </c>
      <c r="K2" s="894" t="str">
        <f>names!$A177</f>
        <v>IV kw. 
2025</v>
      </c>
      <c r="L2" s="894" t="str">
        <f>names!$A178</f>
        <v>12 m-cy 2025</v>
      </c>
    </row>
    <row r="3" spans="2:13" s="1" customFormat="1">
      <c r="B3" s="875" t="str">
        <f>names!A457</f>
        <v>Przychody ze sprzedaży</v>
      </c>
      <c r="C3" s="876">
        <v>34731</v>
      </c>
      <c r="D3" s="876">
        <v>37566</v>
      </c>
      <c r="E3" s="876">
        <v>35799</v>
      </c>
      <c r="F3" s="876">
        <v>33592</v>
      </c>
      <c r="G3" s="877">
        <v>141688</v>
      </c>
      <c r="H3" s="876">
        <v>30415</v>
      </c>
      <c r="I3" s="876">
        <v>30204</v>
      </c>
      <c r="J3" s="876">
        <v>32856</v>
      </c>
      <c r="K3" s="876">
        <v>31522</v>
      </c>
      <c r="L3" s="877">
        <v>124997</v>
      </c>
      <c r="M3" s="56"/>
    </row>
    <row r="4" spans="2:13" s="1" customFormat="1">
      <c r="B4" s="887" t="str">
        <f>names!A458</f>
        <v>Sprzedaż zewnętrzna</v>
      </c>
      <c r="C4" s="888">
        <v>26647</v>
      </c>
      <c r="D4" s="888">
        <v>28810</v>
      </c>
      <c r="E4" s="888">
        <v>27394</v>
      </c>
      <c r="F4" s="888">
        <v>26123</v>
      </c>
      <c r="G4" s="889">
        <v>108974</v>
      </c>
      <c r="H4" s="888">
        <v>23457</v>
      </c>
      <c r="I4" s="888">
        <v>23236</v>
      </c>
      <c r="J4" s="888">
        <v>25432</v>
      </c>
      <c r="K4" s="888">
        <v>24504</v>
      </c>
      <c r="L4" s="889">
        <v>96629</v>
      </c>
      <c r="M4" s="56"/>
    </row>
    <row r="5" spans="2:13" s="1" customFormat="1">
      <c r="B5" s="890" t="str">
        <f>names!A459</f>
        <v>Sprzedaż między segmentami</v>
      </c>
      <c r="C5" s="891">
        <v>8084</v>
      </c>
      <c r="D5" s="891">
        <v>8756</v>
      </c>
      <c r="E5" s="891">
        <v>8405</v>
      </c>
      <c r="F5" s="891">
        <v>7469</v>
      </c>
      <c r="G5" s="892">
        <v>32714</v>
      </c>
      <c r="H5" s="891">
        <v>6958</v>
      </c>
      <c r="I5" s="891">
        <v>6968</v>
      </c>
      <c r="J5" s="891">
        <v>7424</v>
      </c>
      <c r="K5" s="891">
        <v>7018</v>
      </c>
      <c r="L5" s="892">
        <v>28368</v>
      </c>
      <c r="M5" s="56"/>
    </row>
    <row r="6" spans="2:13" s="1" customFormat="1">
      <c r="B6" s="878" t="str">
        <f>names!A460</f>
        <v>Koszty operacyjne ogółem</v>
      </c>
      <c r="C6" s="879">
        <v>-32790</v>
      </c>
      <c r="D6" s="879">
        <v>-35774</v>
      </c>
      <c r="E6" s="879">
        <v>-35984</v>
      </c>
      <c r="F6" s="879">
        <v>-33300</v>
      </c>
      <c r="G6" s="880">
        <v>-137482</v>
      </c>
      <c r="H6" s="879">
        <v>-30023</v>
      </c>
      <c r="I6" s="879">
        <v>-29739</v>
      </c>
      <c r="J6" s="879">
        <v>-30970</v>
      </c>
      <c r="K6" s="879">
        <v>-29234</v>
      </c>
      <c r="L6" s="880">
        <v>-119966</v>
      </c>
      <c r="M6" s="56"/>
    </row>
    <row r="7" spans="2:13" s="1" customFormat="1">
      <c r="B7" s="884" t="str">
        <f>names!A461</f>
        <v>Pozostałe przychody operacyjne</v>
      </c>
      <c r="C7" s="891">
        <v>262</v>
      </c>
      <c r="D7" s="891">
        <v>878</v>
      </c>
      <c r="E7" s="891">
        <v>83</v>
      </c>
      <c r="F7" s="891">
        <v>3496</v>
      </c>
      <c r="G7" s="892">
        <v>4653</v>
      </c>
      <c r="H7" s="891">
        <v>513</v>
      </c>
      <c r="I7" s="891">
        <v>1031</v>
      </c>
      <c r="J7" s="891">
        <v>440</v>
      </c>
      <c r="K7" s="891">
        <v>859</v>
      </c>
      <c r="L7" s="892">
        <v>2807</v>
      </c>
      <c r="M7" s="56"/>
    </row>
    <row r="8" spans="2:13" s="1" customFormat="1">
      <c r="B8" s="884" t="str">
        <f>names!A462</f>
        <v>Pozostałe koszty operacyjne</v>
      </c>
      <c r="C8" s="891">
        <v>-1018</v>
      </c>
      <c r="D8" s="891">
        <v>-962</v>
      </c>
      <c r="E8" s="891">
        <v>-3479</v>
      </c>
      <c r="F8" s="891">
        <v>-11616</v>
      </c>
      <c r="G8" s="892">
        <v>-17009</v>
      </c>
      <c r="H8" s="891">
        <v>-1646</v>
      </c>
      <c r="I8" s="891">
        <v>-1724</v>
      </c>
      <c r="J8" s="891">
        <v>-2117</v>
      </c>
      <c r="K8" s="891">
        <v>-2608</v>
      </c>
      <c r="L8" s="892">
        <v>-8059</v>
      </c>
      <c r="M8" s="56"/>
    </row>
    <row r="9" spans="2:13" s="1" customFormat="1" ht="24" customHeight="1">
      <c r="B9" s="895" t="str">
        <f>names!A464</f>
        <v>(Strata)/odwrócenie straty z tytułu utraty wartości należności handlowych (w tym odsetek od należności handlowych)</v>
      </c>
      <c r="C9" s="896">
        <v>-18</v>
      </c>
      <c r="D9" s="896">
        <v>-14</v>
      </c>
      <c r="E9" s="896">
        <v>3</v>
      </c>
      <c r="F9" s="896">
        <v>-24</v>
      </c>
      <c r="G9" s="897">
        <v>-53</v>
      </c>
      <c r="H9" s="896">
        <v>7</v>
      </c>
      <c r="I9" s="896">
        <v>-1</v>
      </c>
      <c r="J9" s="896">
        <v>17</v>
      </c>
      <c r="K9" s="896">
        <v>-1</v>
      </c>
      <c r="L9" s="897">
        <v>22</v>
      </c>
      <c r="M9" s="56"/>
    </row>
    <row r="10" spans="2:13" s="1" customFormat="1" ht="21" customHeight="1">
      <c r="B10" s="881" t="str">
        <f>names!A2307</f>
        <v>EBIT</v>
      </c>
      <c r="C10" s="882">
        <v>1167</v>
      </c>
      <c r="D10" s="882">
        <v>1694</v>
      </c>
      <c r="E10" s="882">
        <v>-3212</v>
      </c>
      <c r="F10" s="882">
        <v>-7852</v>
      </c>
      <c r="G10" s="883">
        <v>-8203</v>
      </c>
      <c r="H10" s="882">
        <v>-734</v>
      </c>
      <c r="I10" s="882">
        <v>-229</v>
      </c>
      <c r="J10" s="882">
        <v>226</v>
      </c>
      <c r="K10" s="882">
        <v>538</v>
      </c>
      <c r="L10" s="883">
        <v>-199</v>
      </c>
      <c r="M10" s="56"/>
    </row>
    <row r="11" spans="2:13" s="1" customFormat="1" ht="21" customHeight="1">
      <c r="B11" s="881" t="str">
        <f>names!A2263</f>
        <v>Amortyzacja</v>
      </c>
      <c r="C11" s="882">
        <v>607</v>
      </c>
      <c r="D11" s="882">
        <v>632</v>
      </c>
      <c r="E11" s="882">
        <v>669</v>
      </c>
      <c r="F11" s="882">
        <v>725</v>
      </c>
      <c r="G11" s="883">
        <v>2633</v>
      </c>
      <c r="H11" s="882">
        <v>596</v>
      </c>
      <c r="I11" s="882">
        <v>687</v>
      </c>
      <c r="J11" s="882">
        <v>691</v>
      </c>
      <c r="K11" s="882">
        <v>840</v>
      </c>
      <c r="L11" s="883">
        <v>2814</v>
      </c>
      <c r="M11" s="56"/>
    </row>
    <row r="12" spans="2:13" s="1" customFormat="1" ht="21" customHeight="1">
      <c r="B12" s="881" t="str">
        <f>names!A2306</f>
        <v xml:space="preserve">EBITDA </v>
      </c>
      <c r="C12" s="882">
        <f t="shared" ref="C12:G12" si="0">C10+C11</f>
        <v>1774</v>
      </c>
      <c r="D12" s="882">
        <f t="shared" si="0"/>
        <v>2326</v>
      </c>
      <c r="E12" s="882">
        <f t="shared" si="0"/>
        <v>-2543</v>
      </c>
      <c r="F12" s="882">
        <f t="shared" si="0"/>
        <v>-7127</v>
      </c>
      <c r="G12" s="883">
        <f t="shared" si="0"/>
        <v>-5570</v>
      </c>
      <c r="H12" s="882">
        <f>H10+H11</f>
        <v>-138</v>
      </c>
      <c r="I12" s="882">
        <f>I10+I11</f>
        <v>458</v>
      </c>
      <c r="J12" s="882">
        <f t="shared" ref="J12:L12" si="1">J10+J11</f>
        <v>917</v>
      </c>
      <c r="K12" s="882">
        <f t="shared" si="1"/>
        <v>1378</v>
      </c>
      <c r="L12" s="883">
        <f t="shared" si="1"/>
        <v>2615</v>
      </c>
      <c r="M12" s="56"/>
    </row>
    <row r="13" spans="2:13" s="1" customFormat="1" ht="21" customHeight="1">
      <c r="B13" s="881" t="str">
        <f>names!A2303</f>
        <v>Efekt LIFO</v>
      </c>
      <c r="C13" s="882">
        <v>88</v>
      </c>
      <c r="D13" s="882">
        <v>30</v>
      </c>
      <c r="E13" s="882">
        <v>-155</v>
      </c>
      <c r="F13" s="882">
        <v>1</v>
      </c>
      <c r="G13" s="883">
        <v>-36</v>
      </c>
      <c r="H13" s="882">
        <v>-104</v>
      </c>
      <c r="I13" s="882">
        <v>-746</v>
      </c>
      <c r="J13" s="882">
        <v>160</v>
      </c>
      <c r="K13" s="882">
        <v>-100</v>
      </c>
      <c r="L13" s="883">
        <v>-790</v>
      </c>
      <c r="M13" s="56"/>
    </row>
    <row r="14" spans="2:13" s="1" customFormat="1" ht="21" customHeight="1">
      <c r="B14" s="881" t="str">
        <f>names!A2302</f>
        <v>EBITDA LIFO</v>
      </c>
      <c r="C14" s="882">
        <f>C16+C15</f>
        <v>1686</v>
      </c>
      <c r="D14" s="882">
        <f>D16+D15</f>
        <v>2296</v>
      </c>
      <c r="E14" s="882">
        <f>E16+E15</f>
        <v>-2388</v>
      </c>
      <c r="F14" s="882">
        <v>-7128</v>
      </c>
      <c r="G14" s="883">
        <f t="shared" ref="G14" si="2">G12-G13</f>
        <v>-5534</v>
      </c>
      <c r="H14" s="882">
        <f>H12-H13</f>
        <v>-34</v>
      </c>
      <c r="I14" s="882">
        <f>I12-I13</f>
        <v>1204</v>
      </c>
      <c r="J14" s="882">
        <f t="shared" ref="J14:L14" si="3">J12-J13</f>
        <v>757</v>
      </c>
      <c r="K14" s="882">
        <f t="shared" si="3"/>
        <v>1478</v>
      </c>
      <c r="L14" s="883">
        <f t="shared" si="3"/>
        <v>3405</v>
      </c>
      <c r="M14" s="56"/>
    </row>
    <row r="15" spans="2:13" s="1" customFormat="1" ht="21" customHeight="1">
      <c r="B15" s="881" t="str">
        <f>names!A2259</f>
        <v>Odpisy aktualizujące wartość aktywów trwałych</v>
      </c>
      <c r="C15" s="882">
        <v>-668</v>
      </c>
      <c r="D15" s="882">
        <v>-465</v>
      </c>
      <c r="E15" s="882">
        <v>-3272</v>
      </c>
      <c r="F15" s="882">
        <f>F14-F16</f>
        <v>-8161</v>
      </c>
      <c r="G15" s="883">
        <f>G14-G16</f>
        <v>-12566</v>
      </c>
      <c r="H15" s="882">
        <v>-1255</v>
      </c>
      <c r="I15" s="882">
        <v>-995</v>
      </c>
      <c r="J15" s="882">
        <f>J14-J16</f>
        <v>-1671</v>
      </c>
      <c r="K15" s="882">
        <f t="shared" ref="K15:L15" si="4">K14-K16</f>
        <v>-2185</v>
      </c>
      <c r="L15" s="883">
        <f t="shared" si="4"/>
        <v>-6106</v>
      </c>
      <c r="M15" s="56"/>
    </row>
    <row r="16" spans="2:13" s="1" customFormat="1" ht="21" customHeight="1">
      <c r="B16" s="881" t="str">
        <f>names!A2311</f>
        <v>EBITDA LIFO przed odpisami</v>
      </c>
      <c r="C16" s="882">
        <v>2354</v>
      </c>
      <c r="D16" s="882">
        <v>2761</v>
      </c>
      <c r="E16" s="882">
        <v>884</v>
      </c>
      <c r="F16" s="882">
        <v>1033</v>
      </c>
      <c r="G16" s="883">
        <v>7032</v>
      </c>
      <c r="H16" s="882">
        <v>1221</v>
      </c>
      <c r="I16" s="882">
        <v>2199</v>
      </c>
      <c r="J16" s="882">
        <v>2428</v>
      </c>
      <c r="K16" s="882">
        <v>3663</v>
      </c>
      <c r="L16" s="883">
        <v>9511</v>
      </c>
      <c r="M16" s="56"/>
    </row>
    <row r="17" spans="2:13" s="1" customFormat="1" ht="21" customHeight="1">
      <c r="B17" s="881" t="str">
        <f>names!A2272</f>
        <v>Nakłady inwestycyjne</v>
      </c>
      <c r="C17" s="933">
        <v>2554</v>
      </c>
      <c r="D17" s="882">
        <v>3260</v>
      </c>
      <c r="E17" s="882">
        <v>2390</v>
      </c>
      <c r="F17" s="882">
        <v>4067</v>
      </c>
      <c r="G17" s="883">
        <v>12271</v>
      </c>
      <c r="H17" s="882">
        <v>1999</v>
      </c>
      <c r="I17" s="882">
        <v>2228</v>
      </c>
      <c r="J17" s="882">
        <v>2385</v>
      </c>
      <c r="K17" s="882">
        <v>3091</v>
      </c>
      <c r="L17" s="883">
        <v>9703</v>
      </c>
      <c r="M17" s="56"/>
    </row>
    <row r="18" spans="2:13" s="56" customFormat="1">
      <c r="B18" s="881"/>
      <c r="C18" s="882"/>
      <c r="D18" s="882"/>
      <c r="E18" s="882"/>
      <c r="F18" s="882"/>
      <c r="G18" s="882"/>
      <c r="H18" s="882"/>
      <c r="I18" s="882"/>
      <c r="J18" s="882"/>
      <c r="K18" s="882"/>
      <c r="L18" s="882"/>
    </row>
    <row r="19" spans="2:13">
      <c r="B19" s="20" t="str">
        <f>names!A2279</f>
        <v>*) Dane przekształcone</v>
      </c>
    </row>
    <row r="20" spans="2:13">
      <c r="E20" s="370"/>
      <c r="F20" s="370"/>
      <c r="G20" s="370"/>
      <c r="L20" s="370"/>
    </row>
    <row r="21" spans="2:13">
      <c r="B21" s="577"/>
      <c r="C21" s="577"/>
      <c r="D21" s="577"/>
      <c r="E21" s="577"/>
      <c r="F21" s="577"/>
      <c r="G21" s="577"/>
      <c r="H21" s="577"/>
      <c r="I21" s="577"/>
      <c r="J21" s="577"/>
      <c r="K21" s="577"/>
      <c r="L21" s="577"/>
    </row>
    <row r="22" spans="2:13">
      <c r="B22" s="768"/>
      <c r="C22" s="370"/>
    </row>
    <row r="23" spans="2:13">
      <c r="C23" s="5"/>
      <c r="D23" s="5"/>
      <c r="E23" s="5"/>
      <c r="F23" s="5"/>
      <c r="G23" s="5"/>
      <c r="H23" s="5"/>
      <c r="I23" s="5"/>
      <c r="J23" s="5"/>
      <c r="K23" s="5"/>
      <c r="L23" s="5"/>
    </row>
  </sheetData>
  <conditionalFormatting sqref="B21:L21">
    <cfRule type="cellIs" dxfId="122"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2:L20"/>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55.28515625" style="16" customWidth="1"/>
    <col min="3" max="5" width="8.28515625" customWidth="1"/>
    <col min="6" max="6" width="8.28515625" customWidth="1" outlineLevel="1"/>
    <col min="7" max="7" width="9.28515625" customWidth="1" outlineLevel="1"/>
    <col min="8" max="10" width="8.28515625" customWidth="1"/>
    <col min="11" max="11" width="8.28515625" customWidth="1" outlineLevel="1"/>
    <col min="12" max="12" width="9.28515625" customWidth="1" outlineLevel="1"/>
  </cols>
  <sheetData>
    <row r="2" spans="2:12" s="24" customFormat="1" ht="38.25" customHeight="1">
      <c r="B2" s="874" t="str">
        <f>names!A2313</f>
        <v>Energy
(mln PLN)</v>
      </c>
      <c r="C2" s="894" t="str">
        <f>names!$A2095</f>
        <v>I kw. 
2024*</v>
      </c>
      <c r="D2" s="894" t="str">
        <f>names!$A2096</f>
        <v>II kw. 
2024*</v>
      </c>
      <c r="E2" s="894" t="str">
        <f>names!$A2097</f>
        <v>III kw. 
2024*</v>
      </c>
      <c r="F2" s="894" t="str">
        <f>names!$A2098</f>
        <v>IV kw. 
2024*</v>
      </c>
      <c r="G2" s="894" t="str">
        <f>names!$A2099</f>
        <v>12 m-cy 2024*</v>
      </c>
      <c r="H2" s="894" t="str">
        <f>names!$A174</f>
        <v>I kw. 
2025</v>
      </c>
      <c r="I2" s="894" t="str">
        <f>names!$A175</f>
        <v>II kw. 
2025</v>
      </c>
      <c r="J2" s="894" t="str">
        <f>names!$A176</f>
        <v>III kw. 
2025</v>
      </c>
      <c r="K2" s="894" t="str">
        <f>names!$A177</f>
        <v>IV kw. 
2025</v>
      </c>
      <c r="L2" s="894" t="str">
        <f>names!$A178</f>
        <v>12 m-cy 2025</v>
      </c>
    </row>
    <row r="3" spans="2:12" s="1" customFormat="1">
      <c r="B3" s="875" t="str">
        <f>names!A457</f>
        <v>Przychody ze sprzedaży</v>
      </c>
      <c r="C3" s="876">
        <v>14309</v>
      </c>
      <c r="D3" s="876">
        <v>10418</v>
      </c>
      <c r="E3" s="876">
        <v>10333</v>
      </c>
      <c r="F3" s="876">
        <v>14154</v>
      </c>
      <c r="G3" s="877">
        <v>49214</v>
      </c>
      <c r="H3" s="876">
        <v>13631</v>
      </c>
      <c r="I3" s="876">
        <v>10163</v>
      </c>
      <c r="J3" s="876">
        <v>9944</v>
      </c>
      <c r="K3" s="876">
        <v>13654</v>
      </c>
      <c r="L3" s="877">
        <v>47392</v>
      </c>
    </row>
    <row r="4" spans="2:12" s="1" customFormat="1">
      <c r="B4" s="887" t="str">
        <f>names!A458</f>
        <v>Sprzedaż zewnętrzna</v>
      </c>
      <c r="C4" s="888">
        <v>6631</v>
      </c>
      <c r="D4" s="888">
        <v>4668</v>
      </c>
      <c r="E4" s="888">
        <v>5410</v>
      </c>
      <c r="F4" s="888">
        <v>7806</v>
      </c>
      <c r="G4" s="889">
        <v>26962</v>
      </c>
      <c r="H4" s="888">
        <v>6077</v>
      </c>
      <c r="I4" s="888">
        <v>4301</v>
      </c>
      <c r="J4" s="888">
        <v>5333</v>
      </c>
      <c r="K4" s="888">
        <v>8382</v>
      </c>
      <c r="L4" s="889">
        <v>27786</v>
      </c>
    </row>
    <row r="5" spans="2:12" s="1" customFormat="1">
      <c r="B5" s="890" t="str">
        <f>names!A459</f>
        <v>Sprzedaż między segmentami</v>
      </c>
      <c r="C5" s="891">
        <v>7678</v>
      </c>
      <c r="D5" s="891">
        <v>5750</v>
      </c>
      <c r="E5" s="891">
        <v>4923</v>
      </c>
      <c r="F5" s="891">
        <v>6348</v>
      </c>
      <c r="G5" s="892">
        <v>22252</v>
      </c>
      <c r="H5" s="891">
        <v>7554</v>
      </c>
      <c r="I5" s="891">
        <v>5862</v>
      </c>
      <c r="J5" s="891">
        <v>4611</v>
      </c>
      <c r="K5" s="891">
        <v>5272</v>
      </c>
      <c r="L5" s="892">
        <v>19606</v>
      </c>
    </row>
    <row r="6" spans="2:12" s="1" customFormat="1">
      <c r="B6" s="878" t="str">
        <f>names!A460</f>
        <v>Koszty operacyjne ogółem</v>
      </c>
      <c r="C6" s="879">
        <v>-11558</v>
      </c>
      <c r="D6" s="879">
        <v>-9564</v>
      </c>
      <c r="E6" s="879">
        <v>-9683</v>
      </c>
      <c r="F6" s="879">
        <v>-11252</v>
      </c>
      <c r="G6" s="880">
        <v>-42057</v>
      </c>
      <c r="H6" s="879">
        <v>-10414</v>
      </c>
      <c r="I6" s="879">
        <v>-8999</v>
      </c>
      <c r="J6" s="879">
        <v>-8829</v>
      </c>
      <c r="K6" s="879">
        <v>-11108</v>
      </c>
      <c r="L6" s="880">
        <v>-39350</v>
      </c>
    </row>
    <row r="7" spans="2:12" s="1" customFormat="1">
      <c r="B7" s="884" t="str">
        <f>names!A461</f>
        <v>Pozostałe przychody operacyjne</v>
      </c>
      <c r="C7" s="891">
        <v>109</v>
      </c>
      <c r="D7" s="891">
        <v>85</v>
      </c>
      <c r="E7" s="891">
        <v>129</v>
      </c>
      <c r="F7" s="891">
        <v>-225</v>
      </c>
      <c r="G7" s="892">
        <v>54</v>
      </c>
      <c r="H7" s="891">
        <v>81</v>
      </c>
      <c r="I7" s="891">
        <v>67</v>
      </c>
      <c r="J7" s="891">
        <v>145</v>
      </c>
      <c r="K7" s="891">
        <v>145</v>
      </c>
      <c r="L7" s="892">
        <v>438</v>
      </c>
    </row>
    <row r="8" spans="2:12" s="1" customFormat="1">
      <c r="B8" s="884" t="str">
        <f>names!A462</f>
        <v>Pozostałe koszty operacyjne</v>
      </c>
      <c r="C8" s="891">
        <v>-111</v>
      </c>
      <c r="D8" s="891">
        <v>-109</v>
      </c>
      <c r="E8" s="891">
        <v>-93</v>
      </c>
      <c r="F8" s="891">
        <v>-542</v>
      </c>
      <c r="G8" s="892">
        <v>-811</v>
      </c>
      <c r="H8" s="891">
        <v>-72</v>
      </c>
      <c r="I8" s="891">
        <v>-125</v>
      </c>
      <c r="J8" s="891">
        <v>-146</v>
      </c>
      <c r="K8" s="891">
        <v>-244</v>
      </c>
      <c r="L8" s="892">
        <v>-587</v>
      </c>
    </row>
    <row r="9" spans="2:12" s="1" customFormat="1" ht="25.15" customHeight="1">
      <c r="B9" s="895" t="str">
        <f>names!A464</f>
        <v>(Strata)/odwrócenie straty z tytułu utraty wartości należności handlowych (w tym odsetek od należności handlowych)</v>
      </c>
      <c r="C9" s="896">
        <v>-4</v>
      </c>
      <c r="D9" s="896">
        <v>41</v>
      </c>
      <c r="E9" s="896">
        <v>-13</v>
      </c>
      <c r="F9" s="896">
        <v>-64</v>
      </c>
      <c r="G9" s="897">
        <v>-40</v>
      </c>
      <c r="H9" s="896">
        <v>2</v>
      </c>
      <c r="I9" s="896">
        <v>6</v>
      </c>
      <c r="J9" s="896">
        <v>-12</v>
      </c>
      <c r="K9" s="896">
        <v>-19</v>
      </c>
      <c r="L9" s="897">
        <v>-23</v>
      </c>
    </row>
    <row r="10" spans="2:12" s="1" customFormat="1" ht="21" customHeight="1">
      <c r="B10" s="881" t="str">
        <f>names!A2307</f>
        <v>EBIT</v>
      </c>
      <c r="C10" s="882">
        <v>2745</v>
      </c>
      <c r="D10" s="882">
        <v>871</v>
      </c>
      <c r="E10" s="882">
        <v>673</v>
      </c>
      <c r="F10" s="882">
        <v>2071</v>
      </c>
      <c r="G10" s="883">
        <v>6360</v>
      </c>
      <c r="H10" s="882">
        <v>3228</v>
      </c>
      <c r="I10" s="882">
        <v>1112</v>
      </c>
      <c r="J10" s="882">
        <v>1102</v>
      </c>
      <c r="K10" s="882">
        <v>2428</v>
      </c>
      <c r="L10" s="883">
        <v>7870</v>
      </c>
    </row>
    <row r="11" spans="2:12" s="1" customFormat="1" ht="21" customHeight="1">
      <c r="B11" s="881" t="str">
        <f>names!A2263</f>
        <v>Amortyzacja</v>
      </c>
      <c r="C11" s="882">
        <v>943</v>
      </c>
      <c r="D11" s="882">
        <v>990</v>
      </c>
      <c r="E11" s="882">
        <v>989</v>
      </c>
      <c r="F11" s="882">
        <v>1071</v>
      </c>
      <c r="G11" s="883">
        <v>3993</v>
      </c>
      <c r="H11" s="882">
        <v>1063</v>
      </c>
      <c r="I11" s="882">
        <v>1066</v>
      </c>
      <c r="J11" s="882">
        <v>1104</v>
      </c>
      <c r="K11" s="882">
        <v>1158</v>
      </c>
      <c r="L11" s="883">
        <v>4391</v>
      </c>
    </row>
    <row r="12" spans="2:12" s="1" customFormat="1" ht="21" customHeight="1">
      <c r="B12" s="881" t="str">
        <f>names!A2306</f>
        <v xml:space="preserve">EBITDA </v>
      </c>
      <c r="C12" s="882">
        <f t="shared" ref="C12:G12" si="0">C10+C11</f>
        <v>3688</v>
      </c>
      <c r="D12" s="882">
        <f t="shared" si="0"/>
        <v>1861</v>
      </c>
      <c r="E12" s="882">
        <f t="shared" si="0"/>
        <v>1662</v>
      </c>
      <c r="F12" s="882">
        <f t="shared" si="0"/>
        <v>3142</v>
      </c>
      <c r="G12" s="883">
        <f t="shared" si="0"/>
        <v>10353</v>
      </c>
      <c r="H12" s="882">
        <f>H10+H11</f>
        <v>4291</v>
      </c>
      <c r="I12" s="882">
        <f>I10+I11</f>
        <v>2178</v>
      </c>
      <c r="J12" s="882">
        <f t="shared" ref="J12:L12" si="1">J10+J11</f>
        <v>2206</v>
      </c>
      <c r="K12" s="882">
        <f t="shared" si="1"/>
        <v>3586</v>
      </c>
      <c r="L12" s="883">
        <f t="shared" si="1"/>
        <v>12261</v>
      </c>
    </row>
    <row r="13" spans="2:12" s="1" customFormat="1" ht="21" customHeight="1">
      <c r="B13" s="881" t="str">
        <f>names!A2259</f>
        <v>Odpisy aktualizujące wartość aktywów trwałych</v>
      </c>
      <c r="C13" s="882">
        <v>-7</v>
      </c>
      <c r="D13" s="882">
        <v>-25</v>
      </c>
      <c r="E13" s="882">
        <f>E12-E14</f>
        <v>-35</v>
      </c>
      <c r="F13" s="882">
        <f>F12-F14</f>
        <v>-476</v>
      </c>
      <c r="G13" s="883">
        <f>G12-G14</f>
        <v>-543</v>
      </c>
      <c r="H13" s="882">
        <v>-18</v>
      </c>
      <c r="I13" s="882">
        <v>-77</v>
      </c>
      <c r="J13" s="882">
        <f>J12-J14</f>
        <v>-34</v>
      </c>
      <c r="K13" s="882">
        <f t="shared" ref="K13:L13" si="2">K12-K14</f>
        <v>-89</v>
      </c>
      <c r="L13" s="883">
        <f t="shared" si="2"/>
        <v>-218</v>
      </c>
    </row>
    <row r="14" spans="2:12" s="1" customFormat="1" ht="21" customHeight="1">
      <c r="B14" s="881" t="str">
        <f>names!A2314</f>
        <v xml:space="preserve">EBITDA przed odpisami </v>
      </c>
      <c r="C14" s="882">
        <v>3695</v>
      </c>
      <c r="D14" s="882">
        <v>1886</v>
      </c>
      <c r="E14" s="882">
        <v>1697</v>
      </c>
      <c r="F14" s="882">
        <v>3618</v>
      </c>
      <c r="G14" s="883">
        <v>10896</v>
      </c>
      <c r="H14" s="882">
        <v>4309</v>
      </c>
      <c r="I14" s="882">
        <v>2255</v>
      </c>
      <c r="J14" s="882">
        <v>2240</v>
      </c>
      <c r="K14" s="882">
        <v>3675</v>
      </c>
      <c r="L14" s="883">
        <v>12479</v>
      </c>
    </row>
    <row r="15" spans="2:12" s="1" customFormat="1" ht="21" customHeight="1">
      <c r="B15" s="881" t="str">
        <f>names!A2272</f>
        <v>Nakłady inwestycyjne</v>
      </c>
      <c r="C15" s="933">
        <v>1410</v>
      </c>
      <c r="D15" s="882">
        <v>1958</v>
      </c>
      <c r="E15" s="882">
        <v>2191</v>
      </c>
      <c r="F15" s="882">
        <v>4016</v>
      </c>
      <c r="G15" s="883">
        <v>9575</v>
      </c>
      <c r="H15" s="882">
        <v>1473</v>
      </c>
      <c r="I15" s="882">
        <v>2112</v>
      </c>
      <c r="J15" s="882">
        <v>2716</v>
      </c>
      <c r="K15" s="882">
        <v>4383</v>
      </c>
      <c r="L15" s="883">
        <v>10684</v>
      </c>
    </row>
    <row r="16" spans="2:12" s="1" customFormat="1">
      <c r="B16" s="881"/>
      <c r="C16" s="882"/>
      <c r="D16" s="882"/>
      <c r="E16" s="882"/>
      <c r="F16" s="882"/>
      <c r="G16" s="933"/>
      <c r="H16" s="882"/>
      <c r="I16" s="882"/>
      <c r="J16" s="882"/>
      <c r="K16" s="882"/>
      <c r="L16" s="933"/>
    </row>
    <row r="17" spans="2:12">
      <c r="B17" s="20" t="str">
        <f>names!A2279</f>
        <v>*) Dane przekształcone</v>
      </c>
    </row>
    <row r="19" spans="2:12">
      <c r="B19" s="577"/>
      <c r="C19" s="577"/>
      <c r="D19" s="577"/>
      <c r="E19" s="577"/>
      <c r="F19" s="577"/>
      <c r="G19" s="577"/>
      <c r="H19" s="577"/>
      <c r="I19" s="577"/>
      <c r="J19" s="577"/>
      <c r="K19" s="577"/>
      <c r="L19" s="577"/>
    </row>
    <row r="20" spans="2:12">
      <c r="B20" s="768"/>
    </row>
  </sheetData>
  <conditionalFormatting sqref="B19:L19">
    <cfRule type="cellIs" dxfId="121"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5">
    <tabColor rgb="FFFF0000"/>
    <pageSetUpPr fitToPage="1"/>
  </sheetPr>
  <dimension ref="B2:L21"/>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55.28515625" style="16" customWidth="1"/>
    <col min="3" max="5" width="8.28515625" customWidth="1"/>
    <col min="6" max="6" width="8.28515625" customWidth="1" outlineLevel="1"/>
    <col min="7" max="7" width="9.28515625" customWidth="1" outlineLevel="1"/>
    <col min="8" max="10" width="8.28515625" customWidth="1"/>
    <col min="11" max="11" width="8.28515625" customWidth="1" outlineLevel="1"/>
    <col min="12" max="12" width="9.28515625" customWidth="1" outlineLevel="1"/>
  </cols>
  <sheetData>
    <row r="2" spans="2:12" s="24" customFormat="1" ht="38.25" customHeight="1">
      <c r="B2" s="874" t="str">
        <f>names!A2315</f>
        <v>Consumers &amp; Products
(mln PLN)</v>
      </c>
      <c r="C2" s="894" t="str">
        <f>names!$A2095</f>
        <v>I kw. 
2024*</v>
      </c>
      <c r="D2" s="894" t="str">
        <f>names!$A2096</f>
        <v>II kw. 
2024*</v>
      </c>
      <c r="E2" s="894" t="str">
        <f>names!$A2097</f>
        <v>III kw. 
2024*</v>
      </c>
      <c r="F2" s="894" t="str">
        <f>names!$A2098</f>
        <v>IV kw. 
2024*</v>
      </c>
      <c r="G2" s="894" t="str">
        <f>names!$A2099</f>
        <v>12 m-cy 2024*</v>
      </c>
      <c r="H2" s="894" t="str">
        <f>names!$A174</f>
        <v>I kw. 
2025</v>
      </c>
      <c r="I2" s="894" t="str">
        <f>names!$A175</f>
        <v>II kw. 
2025</v>
      </c>
      <c r="J2" s="894" t="str">
        <f>names!$A176</f>
        <v>III kw. 
2025</v>
      </c>
      <c r="K2" s="894" t="str">
        <f>names!$A177</f>
        <v>IV kw. 
2025</v>
      </c>
      <c r="L2" s="894" t="str">
        <f>names!$A178</f>
        <v>12 m-cy 2025</v>
      </c>
    </row>
    <row r="3" spans="2:12" s="1" customFormat="1">
      <c r="B3" s="875" t="str">
        <f>names!A457</f>
        <v>Przychody ze sprzedaży</v>
      </c>
      <c r="C3" s="876">
        <v>30323</v>
      </c>
      <c r="D3" s="876">
        <v>25359</v>
      </c>
      <c r="E3" s="876">
        <v>23108</v>
      </c>
      <c r="F3" s="876">
        <v>26036</v>
      </c>
      <c r="G3" s="877">
        <v>102379</v>
      </c>
      <c r="H3" s="876">
        <v>27735</v>
      </c>
      <c r="I3" s="876">
        <v>22753</v>
      </c>
      <c r="J3" s="876">
        <v>20589</v>
      </c>
      <c r="K3" s="876">
        <v>24162</v>
      </c>
      <c r="L3" s="877">
        <v>91546</v>
      </c>
    </row>
    <row r="4" spans="2:12" s="1" customFormat="1">
      <c r="B4" s="887" t="str">
        <f>names!A458</f>
        <v>Sprzedaż zewnętrzna</v>
      </c>
      <c r="C4" s="888">
        <v>29702</v>
      </c>
      <c r="D4" s="888">
        <v>24517</v>
      </c>
      <c r="E4" s="888">
        <v>22263</v>
      </c>
      <c r="F4" s="888">
        <v>25394</v>
      </c>
      <c r="G4" s="889">
        <v>99429</v>
      </c>
      <c r="H4" s="888">
        <v>27129</v>
      </c>
      <c r="I4" s="888">
        <v>22010</v>
      </c>
      <c r="J4" s="888">
        <v>19847</v>
      </c>
      <c r="K4" s="888">
        <v>23470</v>
      </c>
      <c r="L4" s="889">
        <v>88763</v>
      </c>
    </row>
    <row r="5" spans="2:12" s="1" customFormat="1">
      <c r="B5" s="898" t="str">
        <f>names!A459</f>
        <v>Sprzedaż między segmentami</v>
      </c>
      <c r="C5" s="899">
        <v>621</v>
      </c>
      <c r="D5" s="899">
        <v>842</v>
      </c>
      <c r="E5" s="899">
        <v>845</v>
      </c>
      <c r="F5" s="899">
        <v>642</v>
      </c>
      <c r="G5" s="900">
        <v>2950</v>
      </c>
      <c r="H5" s="899">
        <v>606</v>
      </c>
      <c r="I5" s="899">
        <v>743</v>
      </c>
      <c r="J5" s="899">
        <v>742</v>
      </c>
      <c r="K5" s="899">
        <v>692</v>
      </c>
      <c r="L5" s="900">
        <v>2783</v>
      </c>
    </row>
    <row r="6" spans="2:12" s="1" customFormat="1">
      <c r="B6" s="878" t="str">
        <f>names!A460</f>
        <v>Koszty operacyjne ogółem</v>
      </c>
      <c r="C6" s="879">
        <v>-30323</v>
      </c>
      <c r="D6" s="879">
        <v>-24019</v>
      </c>
      <c r="E6" s="879">
        <v>-22105</v>
      </c>
      <c r="F6" s="879">
        <v>-26361</v>
      </c>
      <c r="G6" s="880">
        <v>-100361</v>
      </c>
      <c r="H6" s="879">
        <v>-26747</v>
      </c>
      <c r="I6" s="879">
        <v>-21108</v>
      </c>
      <c r="J6" s="879">
        <v>-19316</v>
      </c>
      <c r="K6" s="879">
        <v>-23474</v>
      </c>
      <c r="L6" s="880">
        <v>-86952</v>
      </c>
    </row>
    <row r="7" spans="2:12" s="1" customFormat="1">
      <c r="B7" s="884" t="str">
        <f>names!A461</f>
        <v>Pozostałe przychody operacyjne</v>
      </c>
      <c r="C7" s="891">
        <v>40</v>
      </c>
      <c r="D7" s="891">
        <v>49</v>
      </c>
      <c r="E7" s="891">
        <v>1</v>
      </c>
      <c r="F7" s="891">
        <v>125</v>
      </c>
      <c r="G7" s="892">
        <v>259</v>
      </c>
      <c r="H7" s="891">
        <v>75</v>
      </c>
      <c r="I7" s="891">
        <v>70</v>
      </c>
      <c r="J7" s="891">
        <v>46</v>
      </c>
      <c r="K7" s="891">
        <v>364</v>
      </c>
      <c r="L7" s="892">
        <v>584</v>
      </c>
    </row>
    <row r="8" spans="2:12" s="1" customFormat="1">
      <c r="B8" s="884" t="str">
        <f>names!A462</f>
        <v>Pozostałe koszty operacyjne</v>
      </c>
      <c r="C8" s="891">
        <v>-22</v>
      </c>
      <c r="D8" s="891">
        <v>-21</v>
      </c>
      <c r="E8" s="891">
        <v>-34</v>
      </c>
      <c r="F8" s="891">
        <v>-395</v>
      </c>
      <c r="G8" s="892">
        <v>-516</v>
      </c>
      <c r="H8" s="891">
        <v>-44</v>
      </c>
      <c r="I8" s="891">
        <v>-67</v>
      </c>
      <c r="J8" s="891">
        <v>0</v>
      </c>
      <c r="K8" s="891">
        <v>-642</v>
      </c>
      <c r="L8" s="892">
        <v>-782</v>
      </c>
    </row>
    <row r="9" spans="2:12" s="1" customFormat="1" ht="25.15" customHeight="1">
      <c r="B9" s="895" t="str">
        <f>names!A464</f>
        <v>(Strata)/odwrócenie straty z tytułu utraty wartości należności handlowych (w tym odsetek od należności handlowych)</v>
      </c>
      <c r="C9" s="896">
        <v>-34</v>
      </c>
      <c r="D9" s="896">
        <v>-27</v>
      </c>
      <c r="E9" s="896">
        <v>-22</v>
      </c>
      <c r="F9" s="896">
        <v>-154</v>
      </c>
      <c r="G9" s="897">
        <v>-237</v>
      </c>
      <c r="H9" s="896">
        <v>-88</v>
      </c>
      <c r="I9" s="896">
        <v>-17</v>
      </c>
      <c r="J9" s="896">
        <v>-69</v>
      </c>
      <c r="K9" s="896">
        <v>-39</v>
      </c>
      <c r="L9" s="897">
        <v>-213</v>
      </c>
    </row>
    <row r="10" spans="2:12" s="1" customFormat="1" ht="21" customHeight="1">
      <c r="B10" s="881" t="str">
        <f>names!A2307</f>
        <v>EBIT</v>
      </c>
      <c r="C10" s="882">
        <v>-16</v>
      </c>
      <c r="D10" s="882">
        <v>1341</v>
      </c>
      <c r="E10" s="882">
        <v>948</v>
      </c>
      <c r="F10" s="882">
        <v>-749</v>
      </c>
      <c r="G10" s="883">
        <v>1524</v>
      </c>
      <c r="H10" s="882">
        <v>931</v>
      </c>
      <c r="I10" s="882">
        <v>1631</v>
      </c>
      <c r="J10" s="882">
        <v>1250</v>
      </c>
      <c r="K10" s="882">
        <v>371</v>
      </c>
      <c r="L10" s="883">
        <v>4183</v>
      </c>
    </row>
    <row r="11" spans="2:12" s="1" customFormat="1" ht="21" customHeight="1">
      <c r="B11" s="881" t="str">
        <f>names!A2263</f>
        <v>Amortyzacja</v>
      </c>
      <c r="C11" s="882">
        <v>286</v>
      </c>
      <c r="D11" s="882">
        <v>296</v>
      </c>
      <c r="E11" s="882">
        <v>297</v>
      </c>
      <c r="F11" s="882">
        <v>387</v>
      </c>
      <c r="G11" s="883">
        <v>1266</v>
      </c>
      <c r="H11" s="882">
        <v>308</v>
      </c>
      <c r="I11" s="882">
        <v>329</v>
      </c>
      <c r="J11" s="882">
        <v>328</v>
      </c>
      <c r="K11" s="882">
        <v>346</v>
      </c>
      <c r="L11" s="883">
        <v>1311</v>
      </c>
    </row>
    <row r="12" spans="2:12" s="1" customFormat="1" ht="21" customHeight="1">
      <c r="B12" s="881" t="str">
        <f>names!A2262</f>
        <v>EBITDA</v>
      </c>
      <c r="C12" s="882">
        <f t="shared" ref="C12:G12" si="0">C10+C11</f>
        <v>270</v>
      </c>
      <c r="D12" s="882">
        <f t="shared" si="0"/>
        <v>1637</v>
      </c>
      <c r="E12" s="882">
        <f t="shared" si="0"/>
        <v>1245</v>
      </c>
      <c r="F12" s="882">
        <f t="shared" si="0"/>
        <v>-362</v>
      </c>
      <c r="G12" s="883">
        <f t="shared" si="0"/>
        <v>2790</v>
      </c>
      <c r="H12" s="882">
        <f>H10+H11</f>
        <v>1239</v>
      </c>
      <c r="I12" s="882">
        <f>I10+I11</f>
        <v>1960</v>
      </c>
      <c r="J12" s="882">
        <f t="shared" ref="J12:L12" si="1">J10+J11</f>
        <v>1578</v>
      </c>
      <c r="K12" s="882">
        <f t="shared" si="1"/>
        <v>717</v>
      </c>
      <c r="L12" s="883">
        <f t="shared" si="1"/>
        <v>5494</v>
      </c>
    </row>
    <row r="13" spans="2:12" s="1" customFormat="1" ht="21" customHeight="1">
      <c r="B13" s="881" t="str">
        <f>names!A2259</f>
        <v>Odpisy aktualizujące wartość aktywów trwałych</v>
      </c>
      <c r="C13" s="882">
        <v>0</v>
      </c>
      <c r="D13" s="882">
        <v>1</v>
      </c>
      <c r="E13" s="882">
        <f>E12-E14</f>
        <v>-2</v>
      </c>
      <c r="F13" s="882">
        <f>F12-F14</f>
        <v>-202</v>
      </c>
      <c r="G13" s="883">
        <f>G12-G14</f>
        <v>-203</v>
      </c>
      <c r="H13" s="882">
        <v>6</v>
      </c>
      <c r="I13" s="882">
        <v>-39</v>
      </c>
      <c r="J13" s="882">
        <f>J12-J14</f>
        <v>0</v>
      </c>
      <c r="K13" s="882">
        <f t="shared" ref="K13:L13" si="2">K12-K14</f>
        <v>-489</v>
      </c>
      <c r="L13" s="883">
        <f t="shared" si="2"/>
        <v>-522</v>
      </c>
    </row>
    <row r="14" spans="2:12" s="1" customFormat="1" ht="21" customHeight="1">
      <c r="B14" s="881" t="str">
        <f>names!A2314</f>
        <v xml:space="preserve">EBITDA przed odpisami </v>
      </c>
      <c r="C14" s="882">
        <v>270</v>
      </c>
      <c r="D14" s="882">
        <v>1636</v>
      </c>
      <c r="E14" s="882">
        <v>1247</v>
      </c>
      <c r="F14" s="882">
        <v>-160</v>
      </c>
      <c r="G14" s="883">
        <v>2993</v>
      </c>
      <c r="H14" s="882">
        <v>1233</v>
      </c>
      <c r="I14" s="882">
        <v>1999</v>
      </c>
      <c r="J14" s="882">
        <v>1578</v>
      </c>
      <c r="K14" s="882">
        <v>1206</v>
      </c>
      <c r="L14" s="883">
        <v>6016</v>
      </c>
    </row>
    <row r="15" spans="2:12" s="1" customFormat="1" ht="21" customHeight="1">
      <c r="B15" s="881" t="str">
        <f>names!A2272</f>
        <v>Nakłady inwestycyjne</v>
      </c>
      <c r="C15" s="933">
        <v>717</v>
      </c>
      <c r="D15" s="882">
        <v>577</v>
      </c>
      <c r="E15" s="882">
        <v>351</v>
      </c>
      <c r="F15" s="882">
        <v>550</v>
      </c>
      <c r="G15" s="883">
        <v>2195</v>
      </c>
      <c r="H15" s="882">
        <v>308</v>
      </c>
      <c r="I15" s="882">
        <v>438</v>
      </c>
      <c r="J15" s="882">
        <v>394</v>
      </c>
      <c r="K15" s="882">
        <v>664</v>
      </c>
      <c r="L15" s="883">
        <v>1804</v>
      </c>
    </row>
    <row r="16" spans="2:12" s="1" customFormat="1">
      <c r="B16" s="881"/>
      <c r="C16" s="882"/>
      <c r="D16" s="882"/>
      <c r="E16" s="882"/>
      <c r="F16" s="882"/>
      <c r="G16" s="933"/>
      <c r="H16" s="933"/>
      <c r="I16" s="933"/>
      <c r="J16" s="933"/>
      <c r="K16" s="933"/>
      <c r="L16" s="933"/>
    </row>
    <row r="17" spans="2:12">
      <c r="B17" s="20" t="str">
        <f>names!A2279</f>
        <v>*) Dane przekształcone</v>
      </c>
      <c r="C17" s="13"/>
      <c r="D17" s="13"/>
      <c r="E17" s="13"/>
      <c r="F17" s="13"/>
      <c r="G17" s="13"/>
      <c r="H17" s="13"/>
      <c r="I17" s="13"/>
      <c r="J17" s="13"/>
      <c r="K17" s="13"/>
      <c r="L17" s="13"/>
    </row>
    <row r="18" spans="2:12">
      <c r="B18" s="14"/>
      <c r="E18" s="370"/>
      <c r="F18" s="370"/>
      <c r="G18" s="370"/>
      <c r="L18" s="370"/>
    </row>
    <row r="19" spans="2:12">
      <c r="B19" s="577"/>
      <c r="C19" s="577"/>
      <c r="D19" s="577"/>
      <c r="E19" s="577"/>
      <c r="F19" s="577"/>
      <c r="G19" s="577"/>
      <c r="H19" s="577"/>
      <c r="I19" s="577"/>
      <c r="J19" s="577"/>
      <c r="K19" s="577"/>
      <c r="L19" s="577"/>
    </row>
    <row r="20" spans="2:12">
      <c r="B20" s="768"/>
    </row>
    <row r="21" spans="2:12">
      <c r="B21" s="14"/>
    </row>
  </sheetData>
  <conditionalFormatting sqref="B19:L19">
    <cfRule type="cellIs" dxfId="120"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6">
    <tabColor rgb="FFFF0000"/>
    <pageSetUpPr fitToPage="1"/>
  </sheetPr>
  <dimension ref="B2:M29"/>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55.28515625" style="16" customWidth="1"/>
    <col min="3" max="5" width="8.28515625" customWidth="1"/>
    <col min="6" max="7" width="8.28515625" customWidth="1" outlineLevel="1"/>
    <col min="8" max="10" width="8.28515625" customWidth="1"/>
    <col min="11" max="12" width="8.28515625" customWidth="1" outlineLevel="1"/>
  </cols>
  <sheetData>
    <row r="2" spans="2:13" s="24" customFormat="1" ht="38.25" customHeight="1">
      <c r="B2" s="874" t="str">
        <f>names!A2316</f>
        <v>Corporate functions
(mln PLN)</v>
      </c>
      <c r="C2" s="894" t="str">
        <f>names!$A2095</f>
        <v>I kw. 
2024*</v>
      </c>
      <c r="D2" s="894" t="str">
        <f>names!$A2096</f>
        <v>II kw. 
2024*</v>
      </c>
      <c r="E2" s="894" t="str">
        <f>names!$A2097</f>
        <v>III kw. 
2024*</v>
      </c>
      <c r="F2" s="894" t="str">
        <f>names!$A2098</f>
        <v>IV kw. 
2024*</v>
      </c>
      <c r="G2" s="894" t="str">
        <f>names!$A2099</f>
        <v>12 m-cy 2024*</v>
      </c>
      <c r="H2" s="894" t="str">
        <f>names!$A174</f>
        <v>I kw. 
2025</v>
      </c>
      <c r="I2" s="894" t="str">
        <f>names!$A175</f>
        <v>II kw. 
2025</v>
      </c>
      <c r="J2" s="894" t="str">
        <f>names!$A176</f>
        <v>III kw. 
2025</v>
      </c>
      <c r="K2" s="894" t="str">
        <f>names!$A177</f>
        <v>IV kw. 
2025</v>
      </c>
      <c r="L2" s="894" t="str">
        <f>names!$A178</f>
        <v>12 m-cy 2025</v>
      </c>
      <c r="M2" s="577"/>
    </row>
    <row r="3" spans="2:13" s="1" customFormat="1">
      <c r="B3" s="904" t="str">
        <f>names!A457</f>
        <v>Przychody ze sprzedaży</v>
      </c>
      <c r="C3" s="905">
        <v>349</v>
      </c>
      <c r="D3" s="905">
        <v>356</v>
      </c>
      <c r="E3" s="905">
        <v>333</v>
      </c>
      <c r="F3" s="905">
        <v>407</v>
      </c>
      <c r="G3" s="906">
        <v>1445</v>
      </c>
      <c r="H3" s="905">
        <v>355</v>
      </c>
      <c r="I3" s="905">
        <v>342</v>
      </c>
      <c r="J3" s="905">
        <v>353</v>
      </c>
      <c r="K3" s="905">
        <v>397</v>
      </c>
      <c r="L3" s="906">
        <v>1447</v>
      </c>
      <c r="M3" s="577"/>
    </row>
    <row r="4" spans="2:13" s="1" customFormat="1">
      <c r="B4" s="907" t="str">
        <f>names!A458</f>
        <v>Sprzedaż zewnętrzna</v>
      </c>
      <c r="C4" s="891">
        <v>92</v>
      </c>
      <c r="D4" s="891">
        <v>103</v>
      </c>
      <c r="E4" s="891">
        <v>94</v>
      </c>
      <c r="F4" s="891">
        <v>143</v>
      </c>
      <c r="G4" s="892">
        <v>432</v>
      </c>
      <c r="H4" s="891">
        <v>86</v>
      </c>
      <c r="I4" s="891">
        <v>94</v>
      </c>
      <c r="J4" s="891">
        <v>88</v>
      </c>
      <c r="K4" s="891">
        <v>110</v>
      </c>
      <c r="L4" s="892">
        <v>378</v>
      </c>
      <c r="M4" s="577"/>
    </row>
    <row r="5" spans="2:13" s="1" customFormat="1">
      <c r="B5" s="907" t="str">
        <f>names!A459</f>
        <v>Sprzedaż między segmentami</v>
      </c>
      <c r="C5" s="891">
        <v>257</v>
      </c>
      <c r="D5" s="891">
        <v>253</v>
      </c>
      <c r="E5" s="891">
        <v>239</v>
      </c>
      <c r="F5" s="891">
        <v>264</v>
      </c>
      <c r="G5" s="892">
        <v>1013</v>
      </c>
      <c r="H5" s="891">
        <v>269</v>
      </c>
      <c r="I5" s="891">
        <v>248</v>
      </c>
      <c r="J5" s="891">
        <v>265</v>
      </c>
      <c r="K5" s="891">
        <v>287</v>
      </c>
      <c r="L5" s="892">
        <v>1069</v>
      </c>
      <c r="M5" s="577"/>
    </row>
    <row r="6" spans="2:13" s="1" customFormat="1">
      <c r="B6" s="908" t="str">
        <f>names!A460</f>
        <v>Koszty operacyjne ogółem</v>
      </c>
      <c r="C6" s="879">
        <v>-962</v>
      </c>
      <c r="D6" s="879">
        <v>-920</v>
      </c>
      <c r="E6" s="879">
        <v>-852</v>
      </c>
      <c r="F6" s="879">
        <v>-1029</v>
      </c>
      <c r="G6" s="880">
        <v>-3763</v>
      </c>
      <c r="H6" s="879">
        <v>-945</v>
      </c>
      <c r="I6" s="879">
        <v>-968</v>
      </c>
      <c r="J6" s="879">
        <v>-989</v>
      </c>
      <c r="K6" s="879">
        <v>-1109</v>
      </c>
      <c r="L6" s="880">
        <v>-4011</v>
      </c>
      <c r="M6" s="577"/>
    </row>
    <row r="7" spans="2:13" s="1" customFormat="1">
      <c r="B7" s="909" t="str">
        <f>names!A461</f>
        <v>Pozostałe przychody operacyjne</v>
      </c>
      <c r="C7" s="891">
        <v>14</v>
      </c>
      <c r="D7" s="891">
        <v>71</v>
      </c>
      <c r="E7" s="891">
        <v>35</v>
      </c>
      <c r="F7" s="891">
        <v>118</v>
      </c>
      <c r="G7" s="892">
        <v>201</v>
      </c>
      <c r="H7" s="891">
        <v>14</v>
      </c>
      <c r="I7" s="891">
        <v>-43</v>
      </c>
      <c r="J7" s="891">
        <v>31</v>
      </c>
      <c r="K7" s="891">
        <v>58</v>
      </c>
      <c r="L7" s="892">
        <v>60</v>
      </c>
      <c r="M7" s="577"/>
    </row>
    <row r="8" spans="2:13" s="1" customFormat="1">
      <c r="B8" s="910" t="str">
        <f>names!$A462</f>
        <v>Pozostałe koszty operacyjne</v>
      </c>
      <c r="C8" s="899">
        <v>-201</v>
      </c>
      <c r="D8" s="899">
        <v>-27</v>
      </c>
      <c r="E8" s="899">
        <v>-49</v>
      </c>
      <c r="F8" s="899">
        <v>-65</v>
      </c>
      <c r="G8" s="900">
        <v>-305</v>
      </c>
      <c r="H8" s="899">
        <v>-40</v>
      </c>
      <c r="I8" s="899">
        <v>-42</v>
      </c>
      <c r="J8" s="899">
        <v>-178</v>
      </c>
      <c r="K8" s="899">
        <v>-40</v>
      </c>
      <c r="L8" s="900">
        <v>-300</v>
      </c>
      <c r="M8" s="577"/>
    </row>
    <row r="9" spans="2:13" s="1" customFormat="1" ht="25.5">
      <c r="B9" s="895" t="str">
        <f>names!$A464</f>
        <v>(Strata)/odwrócenie straty z tytułu utraty wartości należności handlowych (w tym odsetek od należności handlowych)</v>
      </c>
      <c r="C9" s="896">
        <v>6</v>
      </c>
      <c r="D9" s="896">
        <v>-2</v>
      </c>
      <c r="E9" s="896">
        <v>0</v>
      </c>
      <c r="F9" s="896">
        <v>-17</v>
      </c>
      <c r="G9" s="897">
        <v>-13</v>
      </c>
      <c r="H9" s="896">
        <v>7</v>
      </c>
      <c r="I9" s="896">
        <v>9</v>
      </c>
      <c r="J9" s="896">
        <v>-1</v>
      </c>
      <c r="K9" s="896">
        <v>-47</v>
      </c>
      <c r="L9" s="897">
        <v>-32</v>
      </c>
      <c r="M9" s="577"/>
    </row>
    <row r="10" spans="2:13" s="1" customFormat="1" ht="21" customHeight="1">
      <c r="B10" s="881" t="str">
        <f>names!A2307</f>
        <v>EBIT</v>
      </c>
      <c r="C10" s="882">
        <v>-794</v>
      </c>
      <c r="D10" s="882">
        <v>-522</v>
      </c>
      <c r="E10" s="882">
        <v>-533</v>
      </c>
      <c r="F10" s="882">
        <v>-586</v>
      </c>
      <c r="G10" s="883">
        <v>-2435</v>
      </c>
      <c r="H10" s="882">
        <v>-609</v>
      </c>
      <c r="I10" s="882">
        <v>-702</v>
      </c>
      <c r="J10" s="882">
        <v>-784</v>
      </c>
      <c r="K10" s="882">
        <v>-741</v>
      </c>
      <c r="L10" s="883">
        <v>-2836</v>
      </c>
      <c r="M10" s="577"/>
    </row>
    <row r="11" spans="2:13" s="1" customFormat="1" ht="21" customHeight="1">
      <c r="B11" s="881" t="str">
        <f>names!A2263</f>
        <v>Amortyzacja</v>
      </c>
      <c r="C11" s="882">
        <v>92</v>
      </c>
      <c r="D11" s="882">
        <v>92</v>
      </c>
      <c r="E11" s="882">
        <v>97</v>
      </c>
      <c r="F11" s="882">
        <v>96</v>
      </c>
      <c r="G11" s="883">
        <v>377</v>
      </c>
      <c r="H11" s="882">
        <v>97</v>
      </c>
      <c r="I11" s="882">
        <v>111</v>
      </c>
      <c r="J11" s="882">
        <v>124</v>
      </c>
      <c r="K11" s="882">
        <v>131</v>
      </c>
      <c r="L11" s="883">
        <v>463</v>
      </c>
      <c r="M11" s="577"/>
    </row>
    <row r="12" spans="2:13" s="1" customFormat="1" ht="21" customHeight="1">
      <c r="B12" s="881" t="str">
        <f>names!A2306</f>
        <v xml:space="preserve">EBITDA </v>
      </c>
      <c r="C12" s="882">
        <v>-702</v>
      </c>
      <c r="D12" s="882">
        <v>-430</v>
      </c>
      <c r="E12" s="882">
        <f t="shared" ref="E12:G12" si="0">E10+E11</f>
        <v>-436</v>
      </c>
      <c r="F12" s="882">
        <f t="shared" si="0"/>
        <v>-490</v>
      </c>
      <c r="G12" s="883">
        <f t="shared" si="0"/>
        <v>-2058</v>
      </c>
      <c r="H12" s="882">
        <f>H10+H11</f>
        <v>-512</v>
      </c>
      <c r="I12" s="882">
        <f>I10+I11</f>
        <v>-591</v>
      </c>
      <c r="J12" s="882">
        <f t="shared" ref="J12:L12" si="1">J10+J11</f>
        <v>-660</v>
      </c>
      <c r="K12" s="882">
        <f t="shared" si="1"/>
        <v>-610</v>
      </c>
      <c r="L12" s="883">
        <f t="shared" si="1"/>
        <v>-2373</v>
      </c>
      <c r="M12" s="577"/>
    </row>
    <row r="13" spans="2:13" s="1" customFormat="1" ht="21" customHeight="1">
      <c r="B13" s="881" t="str">
        <f>names!A2259</f>
        <v>Odpisy aktualizujące wartość aktywów trwałych</v>
      </c>
      <c r="C13" s="882">
        <v>0</v>
      </c>
      <c r="D13" s="882">
        <v>-1</v>
      </c>
      <c r="E13" s="882">
        <f>E12-E14</f>
        <v>-33</v>
      </c>
      <c r="F13" s="882">
        <f>F12-F14</f>
        <v>-12</v>
      </c>
      <c r="G13" s="883">
        <f>G12-G14</f>
        <v>-46</v>
      </c>
      <c r="H13" s="882">
        <v>0</v>
      </c>
      <c r="I13" s="882">
        <v>-2</v>
      </c>
      <c r="J13" s="882">
        <f>J12-J14</f>
        <v>-2</v>
      </c>
      <c r="K13" s="882">
        <f t="shared" ref="K13:L13" si="2">K12-K14</f>
        <v>-8</v>
      </c>
      <c r="L13" s="883">
        <f t="shared" si="2"/>
        <v>-12</v>
      </c>
      <c r="M13" s="577"/>
    </row>
    <row r="14" spans="2:13" s="1" customFormat="1" ht="21" customHeight="1">
      <c r="B14" s="881" t="str">
        <f>names!A2314</f>
        <v xml:space="preserve">EBITDA przed odpisami </v>
      </c>
      <c r="C14" s="882">
        <v>-702</v>
      </c>
      <c r="D14" s="882">
        <v>-429</v>
      </c>
      <c r="E14" s="882">
        <v>-403</v>
      </c>
      <c r="F14" s="882">
        <v>-478</v>
      </c>
      <c r="G14" s="883">
        <v>-2012</v>
      </c>
      <c r="H14" s="882">
        <v>-512</v>
      </c>
      <c r="I14" s="882">
        <v>-589</v>
      </c>
      <c r="J14" s="882">
        <v>-658</v>
      </c>
      <c r="K14" s="882">
        <v>-602</v>
      </c>
      <c r="L14" s="883">
        <v>-2361</v>
      </c>
      <c r="M14" s="577"/>
    </row>
    <row r="15" spans="2:13" s="1" customFormat="1" ht="21" customHeight="1">
      <c r="B15" s="881" t="str">
        <f>names!A2272</f>
        <v>Nakłady inwestycyjne</v>
      </c>
      <c r="C15" s="933">
        <v>86</v>
      </c>
      <c r="D15" s="882">
        <v>100</v>
      </c>
      <c r="E15" s="882">
        <v>74</v>
      </c>
      <c r="F15" s="882">
        <v>467</v>
      </c>
      <c r="G15" s="883">
        <v>727</v>
      </c>
      <c r="H15" s="882">
        <v>252</v>
      </c>
      <c r="I15" s="882">
        <v>328</v>
      </c>
      <c r="J15" s="882">
        <v>126</v>
      </c>
      <c r="K15" s="882">
        <v>371</v>
      </c>
      <c r="L15" s="883">
        <v>1077</v>
      </c>
      <c r="M15" s="577"/>
    </row>
    <row r="16" spans="2:13" s="1" customFormat="1">
      <c r="B16" s="881"/>
      <c r="C16" s="882"/>
      <c r="D16" s="882"/>
      <c r="E16" s="882"/>
      <c r="F16" s="882"/>
      <c r="G16" s="882"/>
      <c r="H16" s="882"/>
      <c r="I16" s="882"/>
      <c r="J16" s="882"/>
      <c r="K16" s="882"/>
      <c r="L16" s="882"/>
      <c r="M16" s="577"/>
    </row>
    <row r="17" spans="2:13" s="1" customFormat="1" ht="11.25">
      <c r="B17" s="20" t="str">
        <f>names!A2279</f>
        <v>*) Dane przekształcone</v>
      </c>
      <c r="C17" s="13"/>
      <c r="D17" s="13"/>
      <c r="E17" s="13"/>
      <c r="F17" s="13"/>
      <c r="G17" s="13"/>
      <c r="H17" s="13"/>
      <c r="I17" s="13"/>
      <c r="J17" s="13"/>
      <c r="K17" s="13"/>
      <c r="L17" s="13"/>
      <c r="M17" s="577"/>
    </row>
    <row r="18" spans="2:13">
      <c r="B18" s="13"/>
      <c r="C18" s="22"/>
      <c r="D18" s="22"/>
      <c r="E18" s="385"/>
      <c r="F18" s="385"/>
      <c r="G18" s="385"/>
      <c r="H18" s="22"/>
      <c r="I18" s="22"/>
      <c r="J18" s="22"/>
      <c r="K18" s="22"/>
      <c r="L18" s="22"/>
    </row>
    <row r="19" spans="2:13">
      <c r="B19" s="577"/>
      <c r="C19" s="577"/>
      <c r="D19" s="577"/>
      <c r="E19" s="577"/>
      <c r="F19" s="577"/>
      <c r="G19" s="577"/>
      <c r="H19" s="577"/>
      <c r="I19" s="577"/>
      <c r="J19" s="577"/>
      <c r="K19" s="577"/>
      <c r="L19" s="577"/>
    </row>
    <row r="20" spans="2:13">
      <c r="C20" s="29"/>
      <c r="D20" s="29"/>
      <c r="E20" s="29"/>
      <c r="F20" s="29"/>
      <c r="G20" s="29"/>
      <c r="H20" s="29"/>
      <c r="I20" s="29"/>
      <c r="J20" s="29"/>
      <c r="K20" s="29"/>
      <c r="L20" s="29"/>
    </row>
    <row r="21" spans="2:13">
      <c r="B21" s="14"/>
    </row>
    <row r="22" spans="2:13">
      <c r="B22" s="14"/>
    </row>
    <row r="23" spans="2:13">
      <c r="B23" s="14"/>
    </row>
    <row r="24" spans="2:13">
      <c r="B24" s="14"/>
    </row>
    <row r="25" spans="2:13">
      <c r="B25" s="14"/>
    </row>
    <row r="26" spans="2:13">
      <c r="B26" s="14"/>
    </row>
    <row r="27" spans="2:13">
      <c r="B27" s="14"/>
    </row>
    <row r="28" spans="2:13">
      <c r="B28" s="14"/>
    </row>
    <row r="29" spans="2:13">
      <c r="B29" s="14"/>
    </row>
  </sheetData>
  <conditionalFormatting sqref="M2:M17 B19:L19">
    <cfRule type="cellIs" dxfId="119"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2:P50"/>
  <sheetViews>
    <sheetView showGridLines="0" view="pageBreakPreview" zoomScaleNormal="100" zoomScaleSheetLayoutView="100" workbookViewId="0">
      <pane xSplit="2" ySplit="2" topLeftCell="C3" activePane="bottomRight" state="frozen"/>
      <selection activeCell="B17" sqref="B17"/>
      <selection pane="topRight" activeCell="B17" sqref="B17"/>
      <selection pane="bottomLeft" activeCell="B17" sqref="B17"/>
      <selection pane="bottomRight"/>
    </sheetView>
  </sheetViews>
  <sheetFormatPr defaultColWidth="9.28515625" defaultRowHeight="11.25" outlineLevelCol="1"/>
  <cols>
    <col min="1" max="1" width="1.28515625" style="5" customWidth="1"/>
    <col min="2" max="2" width="91" style="4" customWidth="1"/>
    <col min="3" max="3" width="8.28515625" style="17" customWidth="1"/>
    <col min="4" max="5" width="8.5703125" style="4" customWidth="1"/>
    <col min="6" max="7" width="8.5703125" style="4" customWidth="1" outlineLevel="1"/>
    <col min="8" max="8" width="8.28515625" style="17" customWidth="1"/>
    <col min="9" max="10" width="8.5703125" style="4" customWidth="1"/>
    <col min="11" max="12" width="8.5703125" style="4" customWidth="1" outlineLevel="1"/>
    <col min="13" max="16384" width="9.28515625" style="1"/>
  </cols>
  <sheetData>
    <row r="2" spans="1:16" ht="47.25">
      <c r="B2" s="874" t="str">
        <f>names!A2249</f>
        <v>Skonsolidowane sprawozdanie z zysków lub strat i innych całkowitych dochodów
(mln PLN)</v>
      </c>
      <c r="C2" s="894" t="str">
        <f>names!$A2095</f>
        <v>I kw. 
2024*</v>
      </c>
      <c r="D2" s="894" t="str">
        <f>names!$A2096</f>
        <v>II kw. 
2024*</v>
      </c>
      <c r="E2" s="894" t="str">
        <f>names!$A2097</f>
        <v>III kw. 
2024*</v>
      </c>
      <c r="F2" s="894" t="str">
        <f>names!$A2098</f>
        <v>IV kw. 
2024*</v>
      </c>
      <c r="G2" s="894" t="str">
        <f>names!$A2099</f>
        <v>12 m-cy 2024*</v>
      </c>
      <c r="H2" s="894" t="str">
        <f>names!$A174</f>
        <v>I kw. 
2025</v>
      </c>
      <c r="I2" s="894" t="str">
        <f>names!$A175</f>
        <v>II kw. 
2025</v>
      </c>
      <c r="J2" s="894" t="str">
        <f>names!$A176</f>
        <v>III kw. 
2025</v>
      </c>
      <c r="K2" s="894" t="str">
        <f>names!$A177</f>
        <v>IV kw. 
2025</v>
      </c>
      <c r="L2" s="894" t="str">
        <f>names!$A178</f>
        <v>12 m-cy 2025</v>
      </c>
    </row>
    <row r="3" spans="1:16" ht="9.75" customHeight="1">
      <c r="B3" s="3" t="str">
        <f>names!$A561</f>
        <v>Przychody ze sprzedaży</v>
      </c>
      <c r="C3" s="154">
        <v>82332</v>
      </c>
      <c r="D3" s="154">
        <v>69510</v>
      </c>
      <c r="E3" s="154">
        <v>67936</v>
      </c>
      <c r="F3" s="154">
        <v>75198</v>
      </c>
      <c r="G3" s="205">
        <v>294976</v>
      </c>
      <c r="H3" s="154">
        <v>73535</v>
      </c>
      <c r="I3" s="154">
        <v>60659</v>
      </c>
      <c r="J3" s="154">
        <v>61007</v>
      </c>
      <c r="K3" s="154">
        <v>72128</v>
      </c>
      <c r="L3" s="205">
        <v>267329</v>
      </c>
    </row>
    <row r="4" spans="1:16" ht="9.75" customHeight="1">
      <c r="B4" s="72" t="str">
        <f>names!$A564</f>
        <v>Koszt własny sprzedaży</v>
      </c>
      <c r="C4" s="154">
        <v>-71788</v>
      </c>
      <c r="D4" s="154">
        <v>-63485</v>
      </c>
      <c r="E4" s="154">
        <v>-57342</v>
      </c>
      <c r="F4" s="154">
        <v>-60952</v>
      </c>
      <c r="G4" s="205">
        <v>-253201</v>
      </c>
      <c r="H4" s="154">
        <v>-60804</v>
      </c>
      <c r="I4" s="154">
        <v>-51160</v>
      </c>
      <c r="J4" s="154">
        <v>-50331</v>
      </c>
      <c r="K4" s="154">
        <v>-58510</v>
      </c>
      <c r="L4" s="205">
        <v>-220805</v>
      </c>
    </row>
    <row r="5" spans="1:16" ht="9.75" customHeight="1">
      <c r="B5" s="71" t="str">
        <f>names!$A567</f>
        <v>Zysk/(Strata) brutto ze sprzedaży</v>
      </c>
      <c r="C5" s="155">
        <v>10544</v>
      </c>
      <c r="D5" s="155">
        <v>6025</v>
      </c>
      <c r="E5" s="155">
        <v>10594</v>
      </c>
      <c r="F5" s="155">
        <v>14246</v>
      </c>
      <c r="G5" s="206">
        <v>41775</v>
      </c>
      <c r="H5" s="155">
        <v>12731</v>
      </c>
      <c r="I5" s="155">
        <v>9499</v>
      </c>
      <c r="J5" s="155">
        <v>10676</v>
      </c>
      <c r="K5" s="155">
        <v>13618</v>
      </c>
      <c r="L5" s="206">
        <v>46524</v>
      </c>
    </row>
    <row r="6" spans="1:16" ht="9.75" customHeight="1">
      <c r="B6" s="3" t="str">
        <f>names!$A568</f>
        <v>Koszty sprzedaży</v>
      </c>
      <c r="C6" s="154">
        <v>-3715</v>
      </c>
      <c r="D6" s="154">
        <v>-3515</v>
      </c>
      <c r="E6" s="154">
        <v>-3543</v>
      </c>
      <c r="F6" s="154">
        <v>-3278</v>
      </c>
      <c r="G6" s="205">
        <v>-14051</v>
      </c>
      <c r="H6" s="154">
        <v>-3264</v>
      </c>
      <c r="I6" s="154">
        <v>-3472</v>
      </c>
      <c r="J6" s="154">
        <v>-3596</v>
      </c>
      <c r="K6" s="154">
        <v>-3694</v>
      </c>
      <c r="L6" s="205">
        <v>-14026</v>
      </c>
    </row>
    <row r="7" spans="1:16" ht="9.75" customHeight="1">
      <c r="B7" s="3" t="str">
        <f>names!$A569</f>
        <v>Koszty ogólnego zarządu</v>
      </c>
      <c r="C7" s="154">
        <v>-1536</v>
      </c>
      <c r="D7" s="154">
        <v>-1358</v>
      </c>
      <c r="E7" s="154">
        <v>-1618</v>
      </c>
      <c r="F7" s="154">
        <v>-1611</v>
      </c>
      <c r="G7" s="205">
        <v>-6123</v>
      </c>
      <c r="H7" s="154">
        <v>-1628</v>
      </c>
      <c r="I7" s="154">
        <v>-1532</v>
      </c>
      <c r="J7" s="154">
        <v>-1590</v>
      </c>
      <c r="K7" s="154">
        <v>-2035</v>
      </c>
      <c r="L7" s="205">
        <v>-6785</v>
      </c>
    </row>
    <row r="8" spans="1:16" ht="9.75" customHeight="1">
      <c r="B8" s="3" t="str">
        <f>names!$A1277</f>
        <v>Pozostałe przychody operacyjne</v>
      </c>
      <c r="C8" s="154">
        <v>855</v>
      </c>
      <c r="D8" s="154">
        <v>1133</v>
      </c>
      <c r="E8" s="154">
        <v>905</v>
      </c>
      <c r="F8" s="154">
        <v>8249</v>
      </c>
      <c r="G8" s="205">
        <v>10534</v>
      </c>
      <c r="H8" s="154">
        <v>1266</v>
      </c>
      <c r="I8" s="154">
        <v>2235</v>
      </c>
      <c r="J8" s="154">
        <v>1142</v>
      </c>
      <c r="K8" s="154">
        <v>2651</v>
      </c>
      <c r="L8" s="205">
        <v>7294</v>
      </c>
    </row>
    <row r="9" spans="1:16" ht="9.75" customHeight="1">
      <c r="B9" s="3" t="str">
        <f>names!$A572</f>
        <v>Pozostałe koszty operacyjne</v>
      </c>
      <c r="C9" s="154">
        <v>-1802</v>
      </c>
      <c r="D9" s="154">
        <v>-1319</v>
      </c>
      <c r="E9" s="154">
        <v>-3948</v>
      </c>
      <c r="F9" s="154">
        <v>-15606</v>
      </c>
      <c r="G9" s="205">
        <v>-22067</v>
      </c>
      <c r="H9" s="154">
        <v>-2200</v>
      </c>
      <c r="I9" s="154">
        <v>-3350</v>
      </c>
      <c r="J9" s="154">
        <v>-2790</v>
      </c>
      <c r="K9" s="154">
        <v>-5885</v>
      </c>
      <c r="L9" s="205">
        <v>-14225</v>
      </c>
    </row>
    <row r="10" spans="1:16">
      <c r="B10" s="3" t="str">
        <f>names!$A464</f>
        <v>(Strata)/odwrócenie straty z tytułu utraty wartości należności handlowych (w tym odsetek od należności handlowych)</v>
      </c>
      <c r="C10" s="154">
        <v>-78</v>
      </c>
      <c r="D10" s="154">
        <v>6</v>
      </c>
      <c r="E10" s="154">
        <v>-88</v>
      </c>
      <c r="F10" s="154">
        <v>-288</v>
      </c>
      <c r="G10" s="205">
        <v>-448</v>
      </c>
      <c r="H10" s="154">
        <v>-85</v>
      </c>
      <c r="I10" s="154">
        <v>-30</v>
      </c>
      <c r="J10" s="154">
        <v>-80</v>
      </c>
      <c r="K10" s="154">
        <v>-105</v>
      </c>
      <c r="L10" s="205">
        <v>-300</v>
      </c>
    </row>
    <row r="11" spans="1:16" ht="9.75" customHeight="1">
      <c r="B11" s="71" t="str">
        <f>names!$A575</f>
        <v>Zysk/(Strata) z działalności operacyjnej</v>
      </c>
      <c r="C11" s="155">
        <v>4268</v>
      </c>
      <c r="D11" s="155">
        <v>972</v>
      </c>
      <c r="E11" s="155">
        <v>2302</v>
      </c>
      <c r="F11" s="155">
        <v>1712</v>
      </c>
      <c r="G11" s="206">
        <v>9620</v>
      </c>
      <c r="H11" s="155">
        <v>6820</v>
      </c>
      <c r="I11" s="155">
        <v>3350</v>
      </c>
      <c r="J11" s="155">
        <v>3762</v>
      </c>
      <c r="K11" s="155">
        <v>4550</v>
      </c>
      <c r="L11" s="206">
        <v>18482</v>
      </c>
    </row>
    <row r="12" spans="1:16" ht="9.75" customHeight="1">
      <c r="B12" s="401" t="str">
        <f>names!$A465</f>
        <v>Udział w wyniku finansowym jednostek wycenianych metodą praw własności</v>
      </c>
      <c r="C12" s="154">
        <v>-37</v>
      </c>
      <c r="D12" s="154">
        <v>252</v>
      </c>
      <c r="E12" s="154">
        <v>-287</v>
      </c>
      <c r="F12" s="154">
        <v>-68</v>
      </c>
      <c r="G12" s="205">
        <v>-140</v>
      </c>
      <c r="H12" s="154">
        <v>287</v>
      </c>
      <c r="I12" s="154">
        <v>-36</v>
      </c>
      <c r="J12" s="154">
        <v>33</v>
      </c>
      <c r="K12" s="154">
        <v>241</v>
      </c>
      <c r="L12" s="205">
        <v>525</v>
      </c>
    </row>
    <row r="13" spans="1:16" ht="9.75" customHeight="1">
      <c r="B13" s="3" t="str">
        <f>names!$A576</f>
        <v>Przychody finansowe</v>
      </c>
      <c r="C13" s="154">
        <v>644</v>
      </c>
      <c r="D13" s="154">
        <v>285</v>
      </c>
      <c r="E13" s="154">
        <v>201</v>
      </c>
      <c r="F13" s="154">
        <v>248</v>
      </c>
      <c r="G13" s="205">
        <v>1238</v>
      </c>
      <c r="H13" s="154">
        <v>424</v>
      </c>
      <c r="I13" s="154">
        <v>387</v>
      </c>
      <c r="J13" s="154">
        <v>247</v>
      </c>
      <c r="K13" s="154">
        <v>472</v>
      </c>
      <c r="L13" s="205">
        <v>1530</v>
      </c>
    </row>
    <row r="14" spans="1:16" ht="9.75" customHeight="1">
      <c r="B14" s="3" t="str">
        <f>names!$A577</f>
        <v>Koszty finansowe</v>
      </c>
      <c r="C14" s="154">
        <v>-316</v>
      </c>
      <c r="D14" s="154">
        <v>-409</v>
      </c>
      <c r="E14" s="154">
        <v>-271</v>
      </c>
      <c r="F14" s="154">
        <v>-587</v>
      </c>
      <c r="G14" s="205">
        <v>-1443</v>
      </c>
      <c r="H14" s="154">
        <v>-584</v>
      </c>
      <c r="I14" s="154">
        <v>-556</v>
      </c>
      <c r="J14" s="154">
        <v>-604</v>
      </c>
      <c r="K14" s="154">
        <v>-736</v>
      </c>
      <c r="L14" s="205">
        <v>-2480</v>
      </c>
    </row>
    <row r="15" spans="1:16" s="56" customFormat="1" ht="9.75" customHeight="1">
      <c r="A15" s="65"/>
      <c r="B15" s="71" t="str">
        <f>names!$A578</f>
        <v>Przychody i koszty finansowe netto</v>
      </c>
      <c r="C15" s="156">
        <v>328</v>
      </c>
      <c r="D15" s="156">
        <v>-124</v>
      </c>
      <c r="E15" s="156">
        <v>-70</v>
      </c>
      <c r="F15" s="156">
        <v>-339</v>
      </c>
      <c r="G15" s="207">
        <v>-205</v>
      </c>
      <c r="H15" s="156">
        <v>-160</v>
      </c>
      <c r="I15" s="156">
        <v>-169</v>
      </c>
      <c r="J15" s="156">
        <v>-357</v>
      </c>
      <c r="K15" s="156">
        <v>-264</v>
      </c>
      <c r="L15" s="207">
        <v>-950</v>
      </c>
      <c r="M15" s="1"/>
      <c r="N15" s="1"/>
      <c r="O15" s="1"/>
      <c r="P15" s="1"/>
    </row>
    <row r="16" spans="1:16" ht="9.6" customHeight="1">
      <c r="B16" s="3" t="str">
        <f>names!$A2195</f>
        <v xml:space="preserve">(Strata)/odwrócenie straty z tytułu utraty wartości pozostałych aktywów finansowych </v>
      </c>
      <c r="C16" s="154">
        <v>-31</v>
      </c>
      <c r="D16" s="154">
        <v>-30</v>
      </c>
      <c r="E16" s="154">
        <v>30</v>
      </c>
      <c r="F16" s="154">
        <v>-28</v>
      </c>
      <c r="G16" s="205">
        <v>-59</v>
      </c>
      <c r="H16" s="154">
        <v>-329</v>
      </c>
      <c r="I16" s="154">
        <v>-59</v>
      </c>
      <c r="J16" s="154">
        <v>-10</v>
      </c>
      <c r="K16" s="154">
        <v>-102</v>
      </c>
      <c r="L16" s="205">
        <v>-500</v>
      </c>
    </row>
    <row r="17" spans="1:16" ht="9.75" customHeight="1">
      <c r="B17" s="71" t="str">
        <f>names!$A580</f>
        <v>Zysk/(Strata) przed opodatkowaniem</v>
      </c>
      <c r="C17" s="155">
        <v>4528</v>
      </c>
      <c r="D17" s="155">
        <v>1070</v>
      </c>
      <c r="E17" s="155">
        <v>1975</v>
      </c>
      <c r="F17" s="155">
        <v>1277</v>
      </c>
      <c r="G17" s="206">
        <v>9216</v>
      </c>
      <c r="H17" s="155">
        <v>6618</v>
      </c>
      <c r="I17" s="155">
        <v>3086</v>
      </c>
      <c r="J17" s="155">
        <v>3428</v>
      </c>
      <c r="K17" s="155">
        <v>4425</v>
      </c>
      <c r="L17" s="206">
        <v>17557</v>
      </c>
    </row>
    <row r="18" spans="1:16" ht="9.75" customHeight="1" thickBot="1">
      <c r="B18" s="3" t="str">
        <f>names!$A581</f>
        <v>Podatek dochodowy</v>
      </c>
      <c r="C18" s="154">
        <v>-1730</v>
      </c>
      <c r="D18" s="154">
        <v>-1044</v>
      </c>
      <c r="E18" s="154">
        <v>-1787</v>
      </c>
      <c r="F18" s="154">
        <v>-1909</v>
      </c>
      <c r="G18" s="205">
        <v>-6540</v>
      </c>
      <c r="H18" s="154">
        <v>-2294</v>
      </c>
      <c r="I18" s="154">
        <v>-1478</v>
      </c>
      <c r="J18" s="154">
        <v>-1266</v>
      </c>
      <c r="K18" s="154">
        <v>-1271</v>
      </c>
      <c r="L18" s="205">
        <v>-6309</v>
      </c>
    </row>
    <row r="19" spans="1:16" ht="9.75" customHeight="1" thickBot="1">
      <c r="B19" s="69" t="str">
        <f>names!$A582</f>
        <v>Zysk/(Strata) netto</v>
      </c>
      <c r="C19" s="158">
        <v>2798</v>
      </c>
      <c r="D19" s="158">
        <v>26</v>
      </c>
      <c r="E19" s="158">
        <v>188</v>
      </c>
      <c r="F19" s="158">
        <v>-632</v>
      </c>
      <c r="G19" s="209">
        <v>2676</v>
      </c>
      <c r="H19" s="158">
        <v>4324</v>
      </c>
      <c r="I19" s="158">
        <v>1608</v>
      </c>
      <c r="J19" s="158">
        <v>2162</v>
      </c>
      <c r="K19" s="158">
        <v>3154</v>
      </c>
      <c r="L19" s="209">
        <v>11248</v>
      </c>
    </row>
    <row r="20" spans="1:16" s="55" customFormat="1" ht="3.75" customHeight="1">
      <c r="A20" s="57"/>
      <c r="B20" s="76">
        <f>names!$A583</f>
        <v>0</v>
      </c>
      <c r="C20" s="159"/>
      <c r="D20" s="159"/>
      <c r="E20" s="159"/>
      <c r="F20" s="159"/>
      <c r="G20" s="210"/>
      <c r="H20" s="159"/>
      <c r="I20" s="159"/>
      <c r="J20" s="159"/>
      <c r="K20" s="159"/>
      <c r="L20" s="210"/>
      <c r="M20" s="1"/>
      <c r="O20" s="1"/>
      <c r="P20" s="1"/>
    </row>
    <row r="21" spans="1:16" s="56" customFormat="1" ht="9" customHeight="1">
      <c r="A21" s="65"/>
      <c r="B21" s="66" t="str">
        <f>names!$A584</f>
        <v>Inne całkowite dochody:</v>
      </c>
      <c r="C21" s="160"/>
      <c r="D21" s="160"/>
      <c r="E21" s="160"/>
      <c r="F21" s="160"/>
      <c r="G21" s="211"/>
      <c r="H21" s="160"/>
      <c r="I21" s="160"/>
      <c r="J21" s="160"/>
      <c r="K21" s="160"/>
      <c r="L21" s="211"/>
      <c r="M21" s="1"/>
      <c r="O21" s="1"/>
      <c r="P21" s="1"/>
    </row>
    <row r="22" spans="1:16">
      <c r="B22" s="66" t="str">
        <f>names!$A585</f>
        <v>które nie zostaną następnie przeklasyfikowane na zyski lub straty</v>
      </c>
      <c r="C22" s="160">
        <v>-15</v>
      </c>
      <c r="D22" s="160">
        <v>32</v>
      </c>
      <c r="E22" s="160">
        <v>-54</v>
      </c>
      <c r="F22" s="160">
        <v>6</v>
      </c>
      <c r="G22" s="211">
        <v>-31</v>
      </c>
      <c r="H22" s="160">
        <v>-259</v>
      </c>
      <c r="I22" s="160">
        <v>-33</v>
      </c>
      <c r="J22" s="160">
        <v>7</v>
      </c>
      <c r="K22" s="160">
        <v>-6</v>
      </c>
      <c r="L22" s="211">
        <v>-291</v>
      </c>
    </row>
    <row r="23" spans="1:16">
      <c r="B23" s="80" t="str">
        <f>names!$A586</f>
        <v>wycena nieruchomości inwestycyjnych do wartości godziwej na moment przeklasyfikowania</v>
      </c>
      <c r="C23" s="975">
        <v>0</v>
      </c>
      <c r="D23" s="161">
        <v>0</v>
      </c>
      <c r="E23" s="161">
        <v>0</v>
      </c>
      <c r="F23" s="161">
        <v>2</v>
      </c>
      <c r="G23" s="212">
        <v>2</v>
      </c>
      <c r="H23" s="161">
        <v>0</v>
      </c>
      <c r="I23" s="161">
        <v>0</v>
      </c>
      <c r="J23" s="161">
        <v>0</v>
      </c>
      <c r="K23" s="161">
        <v>56</v>
      </c>
      <c r="L23" s="212">
        <v>56</v>
      </c>
    </row>
    <row r="24" spans="1:16">
      <c r="B24" s="80" t="str">
        <f>names!$A587</f>
        <v>zyski i straty aktuarialne</v>
      </c>
      <c r="C24" s="161">
        <v>-42</v>
      </c>
      <c r="D24" s="161">
        <v>48</v>
      </c>
      <c r="E24" s="161">
        <v>-56</v>
      </c>
      <c r="F24" s="161">
        <v>18</v>
      </c>
      <c r="G24" s="212">
        <v>-32</v>
      </c>
      <c r="H24" s="161">
        <v>-74</v>
      </c>
      <c r="I24" s="161">
        <v>-32</v>
      </c>
      <c r="J24" s="161">
        <v>0</v>
      </c>
      <c r="K24" s="161">
        <v>-63</v>
      </c>
      <c r="L24" s="212">
        <v>-169</v>
      </c>
    </row>
    <row r="25" spans="1:16">
      <c r="B25" s="80" t="str">
        <f>names!$A588</f>
        <v>zyski/(straty) z tytułu inwestycji w instrumenty kapitałowe wyceniane w wartości godziwej przez inne całkowite dochody</v>
      </c>
      <c r="C25" s="161">
        <v>15</v>
      </c>
      <c r="D25" s="161">
        <v>-1</v>
      </c>
      <c r="E25" s="161">
        <v>-9</v>
      </c>
      <c r="F25" s="161">
        <v>-12</v>
      </c>
      <c r="G25" s="212">
        <v>-7</v>
      </c>
      <c r="H25" s="161">
        <v>-245</v>
      </c>
      <c r="I25" s="161">
        <v>-8</v>
      </c>
      <c r="J25" s="161">
        <v>8</v>
      </c>
      <c r="K25" s="161">
        <v>-4</v>
      </c>
      <c r="L25" s="212">
        <v>-249</v>
      </c>
    </row>
    <row r="26" spans="1:16" s="56" customFormat="1" ht="9" customHeight="1">
      <c r="A26" s="65"/>
      <c r="B26" s="80" t="str">
        <f>names!$A589</f>
        <v>podatek odroczony</v>
      </c>
      <c r="C26" s="161">
        <v>12</v>
      </c>
      <c r="D26" s="161">
        <v>-15</v>
      </c>
      <c r="E26" s="161">
        <v>11</v>
      </c>
      <c r="F26" s="161">
        <v>-2</v>
      </c>
      <c r="G26" s="212">
        <v>6</v>
      </c>
      <c r="H26" s="161">
        <v>60</v>
      </c>
      <c r="I26" s="161">
        <v>7</v>
      </c>
      <c r="J26" s="161">
        <v>-1</v>
      </c>
      <c r="K26" s="161">
        <v>5</v>
      </c>
      <c r="L26" s="212">
        <v>71</v>
      </c>
      <c r="M26" s="1"/>
      <c r="N26" s="1"/>
      <c r="O26" s="1"/>
      <c r="P26" s="1"/>
    </row>
    <row r="27" spans="1:16">
      <c r="B27" s="66" t="str">
        <f>names!$A590</f>
        <v>które zostaną przeklasyfikowane na zyski lub straty</v>
      </c>
      <c r="C27" s="160">
        <v>-2221</v>
      </c>
      <c r="D27" s="160">
        <v>41</v>
      </c>
      <c r="E27" s="160">
        <v>-996</v>
      </c>
      <c r="F27" s="160">
        <v>-90</v>
      </c>
      <c r="G27" s="211">
        <v>-3266</v>
      </c>
      <c r="H27" s="160">
        <v>-89</v>
      </c>
      <c r="I27" s="160">
        <v>486</v>
      </c>
      <c r="J27" s="160">
        <v>1101</v>
      </c>
      <c r="K27" s="160">
        <v>1043</v>
      </c>
      <c r="L27" s="211">
        <v>2541</v>
      </c>
    </row>
    <row r="28" spans="1:16">
      <c r="B28" s="80" t="str">
        <f>names!$A591</f>
        <v>instrumenty pochodne zabezpieczające przepływy pieniężne</v>
      </c>
      <c r="C28" s="161">
        <v>-1017</v>
      </c>
      <c r="D28" s="161">
        <v>-732</v>
      </c>
      <c r="E28" s="161">
        <v>-377</v>
      </c>
      <c r="F28" s="161">
        <v>-262</v>
      </c>
      <c r="G28" s="212">
        <v>-2388</v>
      </c>
      <c r="H28" s="161">
        <v>454</v>
      </c>
      <c r="I28" s="161">
        <v>343</v>
      </c>
      <c r="J28" s="161">
        <v>715</v>
      </c>
      <c r="K28" s="161">
        <v>1346</v>
      </c>
      <c r="L28" s="212">
        <v>2858</v>
      </c>
    </row>
    <row r="29" spans="1:16">
      <c r="B29" s="80" t="str">
        <f>names!$A592</f>
        <v>koszty zabezpieczenia</v>
      </c>
      <c r="C29" s="161">
        <v>-776</v>
      </c>
      <c r="D29" s="161">
        <v>366</v>
      </c>
      <c r="E29" s="161">
        <v>2</v>
      </c>
      <c r="F29" s="161">
        <v>8</v>
      </c>
      <c r="G29" s="212">
        <v>-400</v>
      </c>
      <c r="H29" s="161">
        <v>-230</v>
      </c>
      <c r="I29" s="161">
        <v>67</v>
      </c>
      <c r="J29" s="161">
        <v>221</v>
      </c>
      <c r="K29" s="161">
        <v>167</v>
      </c>
      <c r="L29" s="212">
        <v>225</v>
      </c>
    </row>
    <row r="30" spans="1:16">
      <c r="B30" s="80" t="str">
        <f>names!$A593</f>
        <v>różnice kursowe z przeliczenia jednostek działających za granicą</v>
      </c>
      <c r="C30" s="161">
        <v>-774</v>
      </c>
      <c r="D30" s="161">
        <v>335</v>
      </c>
      <c r="E30" s="161">
        <v>-696</v>
      </c>
      <c r="F30" s="161">
        <v>115</v>
      </c>
      <c r="G30" s="212">
        <v>-1020</v>
      </c>
      <c r="H30" s="161">
        <v>-271</v>
      </c>
      <c r="I30" s="161">
        <v>154</v>
      </c>
      <c r="J30" s="161">
        <v>337</v>
      </c>
      <c r="K30" s="161">
        <v>-163</v>
      </c>
      <c r="L30" s="212">
        <v>57</v>
      </c>
    </row>
    <row r="31" spans="1:16" ht="10.15" customHeight="1">
      <c r="B31" s="80" t="str">
        <f>names!$A594</f>
        <v>udział w innych całkowitych dochodach w jednostkach wycenianych metodą praw własności</v>
      </c>
      <c r="C31" s="161">
        <v>4</v>
      </c>
      <c r="D31" s="161">
        <v>4</v>
      </c>
      <c r="E31" s="161">
        <v>1</v>
      </c>
      <c r="F31" s="161">
        <v>3</v>
      </c>
      <c r="G31" s="212">
        <v>12</v>
      </c>
      <c r="H31" s="161">
        <v>0</v>
      </c>
      <c r="I31" s="161">
        <v>0</v>
      </c>
      <c r="J31" s="161">
        <v>0</v>
      </c>
      <c r="K31" s="161">
        <v>0</v>
      </c>
      <c r="L31" s="212">
        <v>0</v>
      </c>
    </row>
    <row r="32" spans="1:16" ht="12" thickBot="1">
      <c r="B32" s="81" t="str">
        <f>names!$A595</f>
        <v>podatek dochodowy</v>
      </c>
      <c r="C32" s="162">
        <v>342</v>
      </c>
      <c r="D32" s="162">
        <v>68</v>
      </c>
      <c r="E32" s="162">
        <v>74</v>
      </c>
      <c r="F32" s="162">
        <v>46</v>
      </c>
      <c r="G32" s="213">
        <v>530</v>
      </c>
      <c r="H32" s="162">
        <v>-42</v>
      </c>
      <c r="I32" s="162">
        <v>-78</v>
      </c>
      <c r="J32" s="162">
        <v>-172</v>
      </c>
      <c r="K32" s="162">
        <v>-307</v>
      </c>
      <c r="L32" s="213">
        <v>-599</v>
      </c>
    </row>
    <row r="33" spans="1:16" ht="12" thickBot="1">
      <c r="B33" s="69" t="str">
        <f>names!$A596</f>
        <v>Całkowite dochody netto</v>
      </c>
      <c r="C33" s="158">
        <v>562</v>
      </c>
      <c r="D33" s="158">
        <v>99</v>
      </c>
      <c r="E33" s="158">
        <v>-862</v>
      </c>
      <c r="F33" s="158">
        <v>-716</v>
      </c>
      <c r="G33" s="209">
        <v>-621</v>
      </c>
      <c r="H33" s="158">
        <v>3976</v>
      </c>
      <c r="I33" s="158">
        <v>2061</v>
      </c>
      <c r="J33" s="158">
        <v>3270</v>
      </c>
      <c r="K33" s="158">
        <v>4191</v>
      </c>
      <c r="L33" s="209">
        <v>13498</v>
      </c>
    </row>
    <row r="34" spans="1:16" s="55" customFormat="1" ht="5.25" customHeight="1">
      <c r="A34" s="57"/>
      <c r="B34" s="74">
        <f>names!$A597</f>
        <v>0</v>
      </c>
      <c r="C34" s="163"/>
      <c r="D34" s="163"/>
      <c r="E34" s="163"/>
      <c r="F34" s="163"/>
      <c r="G34" s="214"/>
      <c r="H34" s="163"/>
      <c r="I34" s="163"/>
      <c r="J34" s="163"/>
      <c r="K34" s="163"/>
      <c r="L34" s="214"/>
      <c r="M34" s="1"/>
      <c r="O34" s="1"/>
      <c r="P34" s="1"/>
    </row>
    <row r="35" spans="1:16">
      <c r="B35" s="66" t="str">
        <f>names!$A598</f>
        <v>Zysk/(strata) netto przypadający na</v>
      </c>
      <c r="C35" s="160">
        <v>2798</v>
      </c>
      <c r="D35" s="160">
        <v>26</v>
      </c>
      <c r="E35" s="160">
        <v>188</v>
      </c>
      <c r="F35" s="160">
        <v>-632</v>
      </c>
      <c r="G35" s="211">
        <v>2676</v>
      </c>
      <c r="H35" s="160">
        <v>4324</v>
      </c>
      <c r="I35" s="160">
        <v>1608</v>
      </c>
      <c r="J35" s="160">
        <v>2162</v>
      </c>
      <c r="K35" s="160">
        <v>3154</v>
      </c>
      <c r="L35" s="211">
        <v>11248</v>
      </c>
    </row>
    <row r="36" spans="1:16" s="26" customFormat="1">
      <c r="A36" s="82"/>
      <c r="B36" s="80" t="str">
        <f>names!$A599</f>
        <v>akcjonariuszy jednostki dominującej</v>
      </c>
      <c r="C36" s="161">
        <v>2778</v>
      </c>
      <c r="D36" s="161">
        <v>20</v>
      </c>
      <c r="E36" s="161">
        <v>222</v>
      </c>
      <c r="F36" s="161">
        <v>-554</v>
      </c>
      <c r="G36" s="212">
        <v>2762</v>
      </c>
      <c r="H36" s="161">
        <v>4279</v>
      </c>
      <c r="I36" s="161">
        <v>1567</v>
      </c>
      <c r="J36" s="161">
        <v>2135</v>
      </c>
      <c r="K36" s="161">
        <v>3129</v>
      </c>
      <c r="L36" s="212">
        <v>11110</v>
      </c>
      <c r="M36" s="1"/>
      <c r="N36" s="1"/>
      <c r="O36" s="1"/>
      <c r="P36" s="1"/>
    </row>
    <row r="37" spans="1:16" s="26" customFormat="1">
      <c r="A37" s="82"/>
      <c r="B37" s="80" t="str">
        <f>names!$A600</f>
        <v>akcjonariuszy/udziałowców niekontrolujących</v>
      </c>
      <c r="C37" s="161">
        <v>20</v>
      </c>
      <c r="D37" s="161">
        <v>6</v>
      </c>
      <c r="E37" s="161">
        <v>-34</v>
      </c>
      <c r="F37" s="161">
        <v>-78</v>
      </c>
      <c r="G37" s="212">
        <v>-86</v>
      </c>
      <c r="H37" s="161">
        <v>45</v>
      </c>
      <c r="I37" s="161">
        <v>41</v>
      </c>
      <c r="J37" s="161">
        <v>27</v>
      </c>
      <c r="K37" s="161">
        <v>25</v>
      </c>
      <c r="L37" s="212">
        <v>138</v>
      </c>
      <c r="M37" s="1"/>
      <c r="N37" s="1"/>
      <c r="O37" s="1"/>
      <c r="P37" s="1"/>
    </row>
    <row r="38" spans="1:16" s="79" customFormat="1" ht="5.25" customHeight="1">
      <c r="A38" s="77"/>
      <c r="B38" s="78">
        <f>names!$A601</f>
        <v>0</v>
      </c>
      <c r="C38" s="164"/>
      <c r="D38" s="164"/>
      <c r="E38" s="164"/>
      <c r="F38" s="164"/>
      <c r="G38" s="215"/>
      <c r="H38" s="164"/>
      <c r="I38" s="164"/>
      <c r="J38" s="164"/>
      <c r="K38" s="164"/>
      <c r="L38" s="215"/>
      <c r="M38" s="1"/>
      <c r="O38" s="1"/>
      <c r="P38" s="1"/>
    </row>
    <row r="39" spans="1:16">
      <c r="B39" s="66" t="str">
        <f>names!$A602</f>
        <v>Całkowite dochody netto przypadające na</v>
      </c>
      <c r="C39" s="160">
        <v>562</v>
      </c>
      <c r="D39" s="160">
        <v>99</v>
      </c>
      <c r="E39" s="160">
        <v>-862</v>
      </c>
      <c r="F39" s="160">
        <v>-716</v>
      </c>
      <c r="G39" s="211">
        <v>-621</v>
      </c>
      <c r="H39" s="160">
        <v>3976</v>
      </c>
      <c r="I39" s="160">
        <v>2061</v>
      </c>
      <c r="J39" s="160">
        <v>3270</v>
      </c>
      <c r="K39" s="160">
        <v>4191</v>
      </c>
      <c r="L39" s="211">
        <v>13498</v>
      </c>
    </row>
    <row r="40" spans="1:16" s="26" customFormat="1">
      <c r="A40" s="82"/>
      <c r="B40" s="80" t="str">
        <f>names!$A603</f>
        <v>akcjonariuszy jednostki dominującej</v>
      </c>
      <c r="C40" s="161">
        <v>546</v>
      </c>
      <c r="D40" s="161">
        <v>92</v>
      </c>
      <c r="E40" s="161">
        <v>-826</v>
      </c>
      <c r="F40" s="161">
        <v>-639</v>
      </c>
      <c r="G40" s="212">
        <v>-531</v>
      </c>
      <c r="H40" s="161">
        <v>3939</v>
      </c>
      <c r="I40" s="161">
        <v>2021</v>
      </c>
      <c r="J40" s="161">
        <v>3244</v>
      </c>
      <c r="K40" s="161">
        <v>4165</v>
      </c>
      <c r="L40" s="212">
        <v>13369</v>
      </c>
      <c r="M40" s="1"/>
      <c r="N40" s="1"/>
      <c r="O40" s="1"/>
      <c r="P40" s="1"/>
    </row>
    <row r="41" spans="1:16" s="26" customFormat="1">
      <c r="A41" s="82"/>
      <c r="B41" s="80" t="str">
        <f>names!$A604</f>
        <v>akcjonariuszy/udziałowców niekontrolujących</v>
      </c>
      <c r="C41" s="161">
        <v>16</v>
      </c>
      <c r="D41" s="161">
        <v>7</v>
      </c>
      <c r="E41" s="161">
        <v>-36</v>
      </c>
      <c r="F41" s="161">
        <v>-77</v>
      </c>
      <c r="G41" s="212">
        <v>-90</v>
      </c>
      <c r="H41" s="161">
        <v>37</v>
      </c>
      <c r="I41" s="161">
        <v>40</v>
      </c>
      <c r="J41" s="161">
        <v>26</v>
      </c>
      <c r="K41" s="161">
        <v>26</v>
      </c>
      <c r="L41" s="212">
        <v>129</v>
      </c>
      <c r="M41" s="1"/>
      <c r="N41" s="1"/>
      <c r="O41" s="1"/>
      <c r="P41" s="1"/>
    </row>
    <row r="42" spans="1:16" s="55" customFormat="1" ht="5.25" customHeight="1">
      <c r="A42" s="57"/>
      <c r="B42" s="75">
        <f>names!$A605</f>
        <v>0</v>
      </c>
      <c r="C42" s="165"/>
      <c r="D42" s="165"/>
      <c r="E42" s="165"/>
      <c r="F42" s="165"/>
      <c r="G42" s="216"/>
      <c r="H42" s="165"/>
      <c r="I42" s="165"/>
      <c r="J42" s="165"/>
      <c r="K42" s="165"/>
      <c r="L42" s="216"/>
      <c r="M42" s="1"/>
      <c r="O42" s="1"/>
      <c r="P42" s="1"/>
    </row>
    <row r="43" spans="1:16" s="55" customFormat="1">
      <c r="A43" s="57"/>
      <c r="B43" s="3" t="str">
        <f>names!$A606</f>
        <v>Zysk netto i rozwodniony zysk netto na jedną akcję przypadający akcjonariuszom jednostki dominującej (w PLN na akcję)</v>
      </c>
      <c r="C43" s="165"/>
      <c r="D43" s="165"/>
      <c r="E43" s="165"/>
      <c r="F43" s="165"/>
      <c r="G43" s="216"/>
      <c r="H43" s="165"/>
      <c r="I43" s="165"/>
      <c r="J43" s="165"/>
      <c r="K43" s="165"/>
      <c r="L43" s="216"/>
      <c r="M43" s="1"/>
      <c r="O43" s="1"/>
      <c r="P43" s="1"/>
    </row>
    <row r="44" spans="1:16" s="26" customFormat="1">
      <c r="A44" s="82"/>
      <c r="B44" s="80" t="str">
        <f>names!$A607</f>
        <v>podstawowy</v>
      </c>
      <c r="C44" s="775">
        <v>2.39</v>
      </c>
      <c r="D44" s="775">
        <v>0.02</v>
      </c>
      <c r="E44" s="775">
        <v>0.19</v>
      </c>
      <c r="F44" s="775">
        <v>-0.48</v>
      </c>
      <c r="G44" s="776">
        <v>2.38</v>
      </c>
      <c r="H44" s="775">
        <v>3.69</v>
      </c>
      <c r="I44" s="775">
        <v>1.35</v>
      </c>
      <c r="J44" s="775">
        <v>1.84</v>
      </c>
      <c r="K44" s="775">
        <v>2.7</v>
      </c>
      <c r="L44" s="776">
        <v>9.57</v>
      </c>
      <c r="M44" s="1"/>
      <c r="N44" s="1"/>
      <c r="O44" s="1"/>
      <c r="P44" s="1"/>
    </row>
    <row r="45" spans="1:16" s="26" customFormat="1" ht="12" thickBot="1">
      <c r="A45" s="82"/>
      <c r="B45" s="456" t="str">
        <f>names!$A608</f>
        <v>rozwodniony</v>
      </c>
      <c r="C45" s="777">
        <v>2.39</v>
      </c>
      <c r="D45" s="777">
        <v>0.02</v>
      </c>
      <c r="E45" s="777">
        <v>0.19</v>
      </c>
      <c r="F45" s="777">
        <v>-0.48</v>
      </c>
      <c r="G45" s="778">
        <v>2.38</v>
      </c>
      <c r="H45" s="777">
        <v>3.69</v>
      </c>
      <c r="I45" s="777">
        <v>1.35</v>
      </c>
      <c r="J45" s="777">
        <v>1.84</v>
      </c>
      <c r="K45" s="777">
        <v>2.7</v>
      </c>
      <c r="L45" s="778">
        <v>9.57</v>
      </c>
      <c r="M45" s="1"/>
      <c r="N45" s="1"/>
      <c r="O45" s="1"/>
      <c r="P45" s="1"/>
    </row>
    <row r="46" spans="1:16" ht="8.25" customHeight="1">
      <c r="B46" s="3"/>
      <c r="C46" s="1"/>
      <c r="D46" s="1"/>
      <c r="E46" s="1"/>
      <c r="F46" s="1"/>
      <c r="G46" s="1"/>
      <c r="H46" s="1"/>
      <c r="I46" s="1"/>
      <c r="J46" s="1"/>
      <c r="K46" s="1"/>
      <c r="L46" s="1"/>
    </row>
    <row r="47" spans="1:16" ht="11.25" customHeight="1">
      <c r="B47" s="3" t="str">
        <f>names!$A610</f>
        <v>*) Dane przekształcone.</v>
      </c>
      <c r="C47" s="1"/>
      <c r="D47" s="1"/>
      <c r="E47" s="1"/>
      <c r="F47" s="1"/>
      <c r="G47" s="1"/>
      <c r="H47" s="1"/>
      <c r="I47" s="1"/>
      <c r="J47" s="1"/>
      <c r="K47" s="1"/>
      <c r="L47" s="1"/>
    </row>
    <row r="48" spans="1:16" ht="12" customHeight="1">
      <c r="B48" s="705"/>
      <c r="C48" s="703"/>
      <c r="D48" s="1"/>
      <c r="E48" s="1"/>
      <c r="F48" s="1"/>
      <c r="G48" s="1"/>
      <c r="H48" s="703"/>
      <c r="I48" s="1"/>
      <c r="J48" s="1"/>
      <c r="K48" s="1"/>
      <c r="L48" s="1"/>
    </row>
    <row r="49" spans="2:12" ht="11.25" customHeight="1"/>
    <row r="50" spans="2:12">
      <c r="B50" s="577"/>
      <c r="C50" s="577"/>
      <c r="D50" s="577"/>
      <c r="E50" s="577"/>
      <c r="F50" s="577"/>
      <c r="G50" s="577"/>
      <c r="H50" s="577"/>
      <c r="I50" s="577"/>
      <c r="J50" s="577"/>
      <c r="K50" s="577"/>
      <c r="L50" s="577"/>
    </row>
  </sheetData>
  <conditionalFormatting sqref="B50:L50">
    <cfRule type="cellIs" dxfId="118" priority="1" operator="equal">
      <formula>FALSE</formula>
    </cfRule>
  </conditionalFormatting>
  <printOptions horizontalCentered="1"/>
  <pageMargins left="0.39370078740157483" right="0.35433070866141736" top="0.98425196850393704" bottom="0.98425196850393704" header="0.51181102362204722" footer="0.51181102362204722"/>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2:FZ1181"/>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42578125" defaultRowHeight="12.75" outlineLevelCol="1"/>
  <cols>
    <col min="1" max="1" width="1.28515625" customWidth="1"/>
    <col min="2" max="2" width="68.7109375" style="1" customWidth="1"/>
    <col min="3" max="6" width="10.28515625" style="5" customWidth="1" collapsed="1"/>
    <col min="7" max="7" width="10.28515625" style="5" customWidth="1" outlineLevel="1" collapsed="1"/>
  </cols>
  <sheetData>
    <row r="2" spans="1:182" s="61" customFormat="1" ht="47.25" customHeight="1">
      <c r="A2" s="60"/>
      <c r="B2" s="874" t="str">
        <f>names!A2248</f>
        <v>Skonsolidowane sprawozdanie z sytuacji finansowej
(mln PLN)</v>
      </c>
      <c r="C2" s="894" t="s">
        <v>769</v>
      </c>
      <c r="D2" s="894" t="s">
        <v>1662</v>
      </c>
      <c r="E2" s="894" t="s">
        <v>1663</v>
      </c>
      <c r="F2" s="894" t="s">
        <v>1664</v>
      </c>
      <c r="G2" s="894" t="s">
        <v>1665</v>
      </c>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row>
    <row r="3" spans="1:182" s="5" customFormat="1" ht="9" customHeight="1">
      <c r="B3" s="68" t="str">
        <f>names!$A627</f>
        <v>AKTYWA</v>
      </c>
      <c r="C3" s="67"/>
      <c r="D3" s="67"/>
      <c r="E3" s="67"/>
      <c r="F3" s="67"/>
      <c r="G3" s="218"/>
    </row>
    <row r="4" spans="1:182" s="5" customFormat="1" ht="11.25">
      <c r="B4" s="2" t="str">
        <f>names!$A628</f>
        <v>Rzeczowe aktywa trwałe</v>
      </c>
      <c r="C4" s="170">
        <v>141714</v>
      </c>
      <c r="D4" s="170">
        <v>141842</v>
      </c>
      <c r="E4" s="170">
        <v>143570</v>
      </c>
      <c r="F4" s="170">
        <v>145986</v>
      </c>
      <c r="G4" s="219">
        <v>150244</v>
      </c>
    </row>
    <row r="5" spans="1:182" s="5" customFormat="1" ht="11.25">
      <c r="B5" s="2" t="str">
        <f>names!$A629</f>
        <v>Wartości niematerialne oraz wartość firmy</v>
      </c>
      <c r="C5" s="170">
        <v>11289</v>
      </c>
      <c r="D5" s="170">
        <v>10849</v>
      </c>
      <c r="E5" s="170">
        <v>12982</v>
      </c>
      <c r="F5" s="170">
        <v>8732</v>
      </c>
      <c r="G5" s="219">
        <v>8110</v>
      </c>
    </row>
    <row r="6" spans="1:182" s="5" customFormat="1" ht="11.25">
      <c r="B6" s="2" t="str">
        <f>names!$A630</f>
        <v>Aktywa z tytułu praw do użytkowania</v>
      </c>
      <c r="C6" s="170">
        <v>13929</v>
      </c>
      <c r="D6" s="170">
        <v>14642</v>
      </c>
      <c r="E6" s="170">
        <v>15139</v>
      </c>
      <c r="F6" s="170">
        <v>15151</v>
      </c>
      <c r="G6" s="219">
        <v>14656</v>
      </c>
    </row>
    <row r="7" spans="1:182" s="5" customFormat="1" ht="11.25">
      <c r="B7" s="2" t="str">
        <f>names!$A631</f>
        <v>Inwestycje wyceniane metodą praw własności</v>
      </c>
      <c r="C7" s="170">
        <v>1969</v>
      </c>
      <c r="D7" s="170">
        <v>2231</v>
      </c>
      <c r="E7" s="170">
        <v>2206</v>
      </c>
      <c r="F7" s="170">
        <v>2246</v>
      </c>
      <c r="G7" s="219">
        <v>2470</v>
      </c>
    </row>
    <row r="8" spans="1:182" s="5" customFormat="1" ht="11.25">
      <c r="B8" s="2" t="str">
        <f>names!$A632</f>
        <v>Aktywa z tytułu podatku odroczonego</v>
      </c>
      <c r="C8" s="170">
        <v>2048</v>
      </c>
      <c r="D8" s="170">
        <v>2051</v>
      </c>
      <c r="E8" s="170">
        <v>1971</v>
      </c>
      <c r="F8" s="170">
        <v>1947</v>
      </c>
      <c r="G8" s="219">
        <v>1911</v>
      </c>
    </row>
    <row r="9" spans="1:182" s="5" customFormat="1" ht="11.25">
      <c r="B9" s="2" t="str">
        <f>names!$A633</f>
        <v>Zapasy obowiązkowe</v>
      </c>
      <c r="C9" s="170">
        <v>11033</v>
      </c>
      <c r="D9" s="170">
        <v>10849</v>
      </c>
      <c r="E9" s="170">
        <v>9956</v>
      </c>
      <c r="F9" s="170">
        <v>9873</v>
      </c>
      <c r="G9" s="219">
        <v>9180</v>
      </c>
    </row>
    <row r="10" spans="1:182" s="5" customFormat="1" ht="11.25">
      <c r="B10" s="3" t="str">
        <f>names!$A634</f>
        <v>Instrumenty pochodne</v>
      </c>
      <c r="C10" s="170">
        <v>1489</v>
      </c>
      <c r="D10" s="170">
        <v>1718</v>
      </c>
      <c r="E10" s="170">
        <v>1546</v>
      </c>
      <c r="F10" s="170">
        <v>1783</v>
      </c>
      <c r="G10" s="219">
        <v>2377</v>
      </c>
    </row>
    <row r="11" spans="1:182" s="5" customFormat="1" ht="11.25">
      <c r="B11" s="2" t="str">
        <f>names!$A636</f>
        <v>Pozostałe aktywa</v>
      </c>
      <c r="C11" s="170">
        <v>3290</v>
      </c>
      <c r="D11" s="170">
        <v>2793</v>
      </c>
      <c r="E11" s="170">
        <v>2804</v>
      </c>
      <c r="F11" s="170">
        <v>2898</v>
      </c>
      <c r="G11" s="219">
        <v>3248</v>
      </c>
    </row>
    <row r="12" spans="1:182" s="5" customFormat="1" ht="11.25">
      <c r="B12" s="71" t="str">
        <f>names!$A637</f>
        <v>Aktywa trwałe</v>
      </c>
      <c r="C12" s="171">
        <v>186761</v>
      </c>
      <c r="D12" s="171">
        <v>186975</v>
      </c>
      <c r="E12" s="171">
        <v>190174</v>
      </c>
      <c r="F12" s="171">
        <v>188616</v>
      </c>
      <c r="G12" s="220">
        <v>192196</v>
      </c>
    </row>
    <row r="13" spans="1:182" s="5" customFormat="1" ht="11.25">
      <c r="B13" s="2" t="str">
        <f>names!$A638</f>
        <v>Zapasy</v>
      </c>
      <c r="C13" s="170">
        <v>21162</v>
      </c>
      <c r="D13" s="170">
        <v>16560</v>
      </c>
      <c r="E13" s="170">
        <v>17816</v>
      </c>
      <c r="F13" s="170">
        <v>20164</v>
      </c>
      <c r="G13" s="219">
        <v>19151</v>
      </c>
    </row>
    <row r="14" spans="1:182" s="5" customFormat="1" ht="11.25">
      <c r="B14" s="2" t="str">
        <f>names!$A639</f>
        <v>Należności z tytułu dostaw i usług oraz pozostałe należności</v>
      </c>
      <c r="C14" s="170">
        <v>31067</v>
      </c>
      <c r="D14" s="170">
        <v>33466</v>
      </c>
      <c r="E14" s="170">
        <v>27326</v>
      </c>
      <c r="F14" s="170">
        <v>25134</v>
      </c>
      <c r="G14" s="219">
        <v>28488</v>
      </c>
    </row>
    <row r="15" spans="1:182" s="5" customFormat="1" ht="11.25">
      <c r="B15" s="2" t="str">
        <f>names!$A640</f>
        <v>Należności z tytułu podatku dochodowego</v>
      </c>
      <c r="C15" s="170">
        <v>786</v>
      </c>
      <c r="D15" s="170">
        <v>660</v>
      </c>
      <c r="E15" s="170">
        <v>439</v>
      </c>
      <c r="F15" s="170">
        <v>394</v>
      </c>
      <c r="G15" s="219">
        <v>392</v>
      </c>
    </row>
    <row r="16" spans="1:182" s="5" customFormat="1" ht="11.25">
      <c r="B16" s="2" t="str">
        <f>names!$A641</f>
        <v>Środki pieniężne</v>
      </c>
      <c r="C16" s="170">
        <v>11042</v>
      </c>
      <c r="D16" s="170">
        <v>19635</v>
      </c>
      <c r="E16" s="170">
        <v>25569</v>
      </c>
      <c r="F16" s="170">
        <v>22134</v>
      </c>
      <c r="G16" s="219">
        <v>26448</v>
      </c>
    </row>
    <row r="17" spans="2:7" s="5" customFormat="1" ht="11.25">
      <c r="B17" s="2" t="str">
        <f>names!$A642</f>
        <v>Instrumenty pochodne</v>
      </c>
      <c r="C17" s="170">
        <v>1543</v>
      </c>
      <c r="D17" s="170">
        <v>1302</v>
      </c>
      <c r="E17" s="170">
        <v>1762</v>
      </c>
      <c r="F17" s="170">
        <v>2614</v>
      </c>
      <c r="G17" s="219">
        <v>3162</v>
      </c>
    </row>
    <row r="18" spans="2:7" s="5" customFormat="1" ht="11.25">
      <c r="B18" s="2" t="str">
        <f>names!$A645</f>
        <v>Aktywa przeznaczone do sprzedaży</v>
      </c>
      <c r="C18" s="170">
        <v>152</v>
      </c>
      <c r="D18" s="170">
        <v>108</v>
      </c>
      <c r="E18" s="170">
        <v>104</v>
      </c>
      <c r="F18" s="170">
        <v>17</v>
      </c>
      <c r="G18" s="219">
        <v>1425</v>
      </c>
    </row>
    <row r="19" spans="2:7" s="5" customFormat="1" ht="11.25">
      <c r="B19" s="3" t="str">
        <f>names!$A644</f>
        <v>Pozostałe aktywa</v>
      </c>
      <c r="C19" s="170">
        <v>2025</v>
      </c>
      <c r="D19" s="170">
        <v>2046</v>
      </c>
      <c r="E19" s="170">
        <v>2144</v>
      </c>
      <c r="F19" s="170">
        <v>1154</v>
      </c>
      <c r="G19" s="219">
        <v>1139</v>
      </c>
    </row>
    <row r="20" spans="2:7" s="5" customFormat="1" ht="12" thickBot="1">
      <c r="B20" s="90" t="str">
        <f>names!$A646</f>
        <v>Aktywa obrotowe</v>
      </c>
      <c r="C20" s="172">
        <v>67777</v>
      </c>
      <c r="D20" s="172">
        <v>73777</v>
      </c>
      <c r="E20" s="172">
        <v>75160</v>
      </c>
      <c r="F20" s="172">
        <v>71611</v>
      </c>
      <c r="G20" s="221">
        <v>80205</v>
      </c>
    </row>
    <row r="21" spans="2:7" s="5" customFormat="1" thickBot="1">
      <c r="B21" s="84" t="str">
        <f>names!$A647</f>
        <v>Aktywa razem</v>
      </c>
      <c r="C21" s="166">
        <v>254538</v>
      </c>
      <c r="D21" s="166">
        <v>260752</v>
      </c>
      <c r="E21" s="166">
        <v>265334</v>
      </c>
      <c r="F21" s="166">
        <v>260227</v>
      </c>
      <c r="G21" s="222">
        <v>272401</v>
      </c>
    </row>
    <row r="22" spans="2:7" s="5" customFormat="1" ht="11.25">
      <c r="B22" s="68" t="str">
        <f>names!$A648</f>
        <v>PASYWA</v>
      </c>
      <c r="C22" s="173"/>
      <c r="D22" s="173"/>
      <c r="E22" s="173"/>
      <c r="F22" s="173"/>
      <c r="G22" s="223"/>
    </row>
    <row r="23" spans="2:7" s="5" customFormat="1" ht="11.25">
      <c r="B23" s="68" t="str">
        <f>names!$A649</f>
        <v>KAPITAŁ WŁASNY</v>
      </c>
      <c r="C23" s="173"/>
      <c r="D23" s="173"/>
      <c r="E23" s="173"/>
      <c r="F23" s="173"/>
      <c r="G23" s="223"/>
    </row>
    <row r="24" spans="2:7" s="5" customFormat="1" ht="11.25">
      <c r="B24" s="2" t="str">
        <f>names!$A650</f>
        <v>Kapitał podstawowy</v>
      </c>
      <c r="C24" s="170">
        <v>1974</v>
      </c>
      <c r="D24" s="170">
        <v>1974</v>
      </c>
      <c r="E24" s="170">
        <v>1974</v>
      </c>
      <c r="F24" s="170">
        <v>1974</v>
      </c>
      <c r="G24" s="219">
        <v>1974</v>
      </c>
    </row>
    <row r="25" spans="2:7" s="5" customFormat="1" ht="11.25">
      <c r="B25" s="2" t="str">
        <f>names!$A651</f>
        <v>Kapitał z emisji akcji powyżej ich wartości nominalnej</v>
      </c>
      <c r="C25" s="170">
        <v>46405</v>
      </c>
      <c r="D25" s="170">
        <v>46405</v>
      </c>
      <c r="E25" s="170">
        <v>46405</v>
      </c>
      <c r="F25" s="170">
        <v>46405</v>
      </c>
      <c r="G25" s="219">
        <v>46405</v>
      </c>
    </row>
    <row r="26" spans="2:7" s="5" customFormat="1" ht="11.25">
      <c r="B26" s="2" t="str">
        <f>names!$A652</f>
        <v>Inne składniki kapitału własnego</v>
      </c>
      <c r="C26" s="170">
        <v>303</v>
      </c>
      <c r="D26" s="170">
        <v>16</v>
      </c>
      <c r="E26" s="170">
        <v>496</v>
      </c>
      <c r="F26" s="170">
        <v>1603</v>
      </c>
      <c r="G26" s="219">
        <v>2690</v>
      </c>
    </row>
    <row r="27" spans="2:7" s="5" customFormat="1" ht="11.25">
      <c r="B27" s="2" t="str">
        <f>names!$A656</f>
        <v>Zyski zatrzymane</v>
      </c>
      <c r="C27" s="170">
        <v>97018</v>
      </c>
      <c r="D27" s="170">
        <v>101244</v>
      </c>
      <c r="E27" s="170">
        <v>95819</v>
      </c>
      <c r="F27" s="170">
        <v>97956</v>
      </c>
      <c r="G27" s="219">
        <v>101283</v>
      </c>
    </row>
    <row r="28" spans="2:7" s="5" customFormat="1" ht="11.25">
      <c r="B28" s="393" t="str">
        <f>names!$A657</f>
        <v>Kapitał własny przypadający na akcjonariuszy jednostki dominującej</v>
      </c>
      <c r="C28" s="171">
        <v>145700</v>
      </c>
      <c r="D28" s="171">
        <v>149639</v>
      </c>
      <c r="E28" s="171">
        <v>144694</v>
      </c>
      <c r="F28" s="171">
        <v>147938</v>
      </c>
      <c r="G28" s="220">
        <v>152352</v>
      </c>
    </row>
    <row r="29" spans="2:7" s="5" customFormat="1" ht="11.25">
      <c r="B29" s="71" t="str">
        <f>names!$A658</f>
        <v>Kapitał własny przypadający udziałom niekontrolującym</v>
      </c>
      <c r="C29" s="174">
        <v>989</v>
      </c>
      <c r="D29" s="174">
        <v>1026</v>
      </c>
      <c r="E29" s="174">
        <v>1066</v>
      </c>
      <c r="F29" s="174">
        <v>1091</v>
      </c>
      <c r="G29" s="224">
        <v>954</v>
      </c>
    </row>
    <row r="30" spans="2:7" s="5" customFormat="1" ht="11.25">
      <c r="B30" s="71" t="str">
        <f>names!$A659</f>
        <v>Kapitał własny razem</v>
      </c>
      <c r="C30" s="171">
        <v>146689</v>
      </c>
      <c r="D30" s="171">
        <v>150665</v>
      </c>
      <c r="E30" s="171">
        <v>145760</v>
      </c>
      <c r="F30" s="171">
        <v>149029</v>
      </c>
      <c r="G30" s="220">
        <v>153306</v>
      </c>
    </row>
    <row r="31" spans="2:7" s="5" customFormat="1" ht="11.25">
      <c r="B31" s="103" t="str">
        <f>names!$A660</f>
        <v>ZOBOWIĄZANIA</v>
      </c>
      <c r="C31" s="172"/>
      <c r="D31" s="172"/>
      <c r="E31" s="172"/>
      <c r="F31" s="172"/>
      <c r="G31" s="221"/>
    </row>
    <row r="32" spans="2:7" s="5" customFormat="1" ht="11.25">
      <c r="B32" s="2" t="str">
        <f>names!$A661</f>
        <v>Kredyty, pożyczki i obligacje</v>
      </c>
      <c r="C32" s="175">
        <v>14979</v>
      </c>
      <c r="D32" s="175">
        <v>16655</v>
      </c>
      <c r="E32" s="175">
        <v>18302</v>
      </c>
      <c r="F32" s="175">
        <v>21821</v>
      </c>
      <c r="G32" s="225">
        <v>23657</v>
      </c>
    </row>
    <row r="33" spans="2:7" s="5" customFormat="1" ht="11.25">
      <c r="B33" s="2" t="str">
        <f>names!$A662</f>
        <v xml:space="preserve">Rezerwy </v>
      </c>
      <c r="C33" s="175">
        <v>11342</v>
      </c>
      <c r="D33" s="175">
        <v>11315</v>
      </c>
      <c r="E33" s="175">
        <v>11365</v>
      </c>
      <c r="F33" s="175">
        <v>11473</v>
      </c>
      <c r="G33" s="225">
        <v>12121</v>
      </c>
    </row>
    <row r="34" spans="2:7" s="5" customFormat="1" ht="11.25">
      <c r="B34" s="2" t="str">
        <f>names!$A663</f>
        <v>Zobowiązania z tytułu podatku odroczonego</v>
      </c>
      <c r="C34" s="175">
        <v>10744</v>
      </c>
      <c r="D34" s="175">
        <v>10833</v>
      </c>
      <c r="E34" s="175">
        <v>11102</v>
      </c>
      <c r="F34" s="175">
        <v>11275</v>
      </c>
      <c r="G34" s="225">
        <v>10935</v>
      </c>
    </row>
    <row r="35" spans="2:7" s="5" customFormat="1" ht="11.25">
      <c r="B35" s="2" t="str">
        <f>names!$A664</f>
        <v>Instrumenty pochodne</v>
      </c>
      <c r="C35" s="175">
        <v>225</v>
      </c>
      <c r="D35" s="175">
        <v>245</v>
      </c>
      <c r="E35" s="175">
        <v>409</v>
      </c>
      <c r="F35" s="175">
        <v>421</v>
      </c>
      <c r="G35" s="225">
        <v>543</v>
      </c>
    </row>
    <row r="36" spans="2:7" s="5" customFormat="1" ht="11.25">
      <c r="B36" s="2" t="str">
        <f>names!$A665</f>
        <v>Zobowiązania z tytułu leasingu</v>
      </c>
      <c r="C36" s="175">
        <v>9925</v>
      </c>
      <c r="D36" s="175">
        <v>10428</v>
      </c>
      <c r="E36" s="175">
        <v>10960</v>
      </c>
      <c r="F36" s="175">
        <v>11030</v>
      </c>
      <c r="G36" s="225">
        <v>10903</v>
      </c>
    </row>
    <row r="37" spans="2:7" s="5" customFormat="1" ht="11.25">
      <c r="B37" s="2" t="str">
        <f>names!$A666</f>
        <v>Pozostałe zobowiązania</v>
      </c>
      <c r="C37" s="175">
        <v>1078</v>
      </c>
      <c r="D37" s="175">
        <v>1066</v>
      </c>
      <c r="E37" s="175">
        <v>2097</v>
      </c>
      <c r="F37" s="175">
        <v>2080</v>
      </c>
      <c r="G37" s="225">
        <v>2275</v>
      </c>
    </row>
    <row r="38" spans="2:7" s="5" customFormat="1" ht="11.25">
      <c r="B38" s="71" t="str">
        <f>names!$A668</f>
        <v>Zobowiązania długoterminowe</v>
      </c>
      <c r="C38" s="171">
        <v>48293</v>
      </c>
      <c r="D38" s="171">
        <v>50542</v>
      </c>
      <c r="E38" s="171">
        <v>54235</v>
      </c>
      <c r="F38" s="171">
        <v>58100</v>
      </c>
      <c r="G38" s="220">
        <v>60434</v>
      </c>
    </row>
    <row r="39" spans="2:7" s="5" customFormat="1" ht="11.25">
      <c r="B39" s="3" t="str">
        <f>names!$A669</f>
        <v>Zobowiązania z tytułu dostaw i usług oraz pozostałe zobowiązania</v>
      </c>
      <c r="C39" s="175">
        <v>40343</v>
      </c>
      <c r="D39" s="175">
        <v>38037</v>
      </c>
      <c r="E39" s="175">
        <v>44068</v>
      </c>
      <c r="F39" s="175">
        <v>35498</v>
      </c>
      <c r="G39" s="225">
        <v>37421</v>
      </c>
    </row>
    <row r="40" spans="2:7" s="5" customFormat="1" ht="11.25">
      <c r="B40" s="3" t="str">
        <f>names!$A670</f>
        <v>Zobowiązania z tytułu leasingu</v>
      </c>
      <c r="C40" s="175">
        <v>1470</v>
      </c>
      <c r="D40" s="175">
        <v>1447</v>
      </c>
      <c r="E40" s="175">
        <v>1550</v>
      </c>
      <c r="F40" s="175">
        <v>1621</v>
      </c>
      <c r="G40" s="225">
        <v>1303</v>
      </c>
    </row>
    <row r="41" spans="2:7" s="5" customFormat="1" ht="11.25">
      <c r="B41" s="3" t="str">
        <f>names!$A671</f>
        <v>Zobowiązania z tytułu umów z klientami</v>
      </c>
      <c r="C41" s="175">
        <v>1771</v>
      </c>
      <c r="D41" s="175">
        <v>1997</v>
      </c>
      <c r="E41" s="175">
        <v>1687</v>
      </c>
      <c r="F41" s="175">
        <v>1908</v>
      </c>
      <c r="G41" s="225">
        <v>2056</v>
      </c>
    </row>
    <row r="42" spans="2:7" s="5" customFormat="1" ht="11.25">
      <c r="B42" s="2" t="str">
        <f>names!$A672</f>
        <v>Kredyty, pożyczki i obligacje</v>
      </c>
      <c r="C42" s="175">
        <v>3167</v>
      </c>
      <c r="D42" s="175">
        <v>1781</v>
      </c>
      <c r="E42" s="175">
        <v>1784</v>
      </c>
      <c r="F42" s="175">
        <v>1474</v>
      </c>
      <c r="G42" s="225">
        <v>1491</v>
      </c>
    </row>
    <row r="43" spans="2:7" s="5" customFormat="1" ht="11.25">
      <c r="B43" s="2" t="str">
        <f>names!$A673</f>
        <v>Rezerwy</v>
      </c>
      <c r="C43" s="175">
        <v>8272</v>
      </c>
      <c r="D43" s="175">
        <v>9832</v>
      </c>
      <c r="E43" s="175">
        <v>11028</v>
      </c>
      <c r="F43" s="175">
        <v>7591</v>
      </c>
      <c r="G43" s="225">
        <v>10894</v>
      </c>
    </row>
    <row r="44" spans="2:7" s="5" customFormat="1" ht="11.25">
      <c r="B44" s="2" t="str">
        <f>names!$A674</f>
        <v>Zobowiązania z tytułu podatku dochodowego</v>
      </c>
      <c r="C44" s="175">
        <v>2873</v>
      </c>
      <c r="D44" s="175">
        <v>3332</v>
      </c>
      <c r="E44" s="175">
        <v>2232</v>
      </c>
      <c r="F44" s="175">
        <v>2902</v>
      </c>
      <c r="G44" s="225">
        <v>3406</v>
      </c>
    </row>
    <row r="45" spans="2:7" s="5" customFormat="1" ht="9.6" customHeight="1">
      <c r="B45" s="2" t="str">
        <f>names!$A675</f>
        <v>Instrumenty pochodne</v>
      </c>
      <c r="C45" s="175">
        <v>926</v>
      </c>
      <c r="D45" s="175">
        <v>955</v>
      </c>
      <c r="E45" s="175">
        <v>677</v>
      </c>
      <c r="F45" s="175">
        <v>761</v>
      </c>
      <c r="G45" s="225">
        <v>1483</v>
      </c>
    </row>
    <row r="46" spans="2:7" s="5" customFormat="1" ht="11.25">
      <c r="B46" s="2" t="str">
        <f>names!$A676</f>
        <v>Pozostałe zobowiązania</v>
      </c>
      <c r="C46" s="175">
        <v>734</v>
      </c>
      <c r="D46" s="175">
        <v>2164</v>
      </c>
      <c r="E46" s="175">
        <v>2313</v>
      </c>
      <c r="F46" s="175">
        <v>1343</v>
      </c>
      <c r="G46" s="225">
        <v>607</v>
      </c>
    </row>
    <row r="47" spans="2:7" s="5" customFormat="1" ht="11.25">
      <c r="B47" s="71" t="str">
        <f>names!$A677</f>
        <v>Zobowiązania krótkoterminowe</v>
      </c>
      <c r="C47" s="171">
        <v>59556</v>
      </c>
      <c r="D47" s="171">
        <v>59545</v>
      </c>
      <c r="E47" s="171">
        <v>65339</v>
      </c>
      <c r="F47" s="171">
        <v>53098</v>
      </c>
      <c r="G47" s="220">
        <v>58661</v>
      </c>
    </row>
    <row r="48" spans="2:7" s="5" customFormat="1" ht="12" thickBot="1">
      <c r="B48" s="88" t="str">
        <f>names!$A678</f>
        <v>Zobowiązania razem</v>
      </c>
      <c r="C48" s="176">
        <v>107849</v>
      </c>
      <c r="D48" s="176">
        <v>110087</v>
      </c>
      <c r="E48" s="176">
        <v>119574</v>
      </c>
      <c r="F48" s="176">
        <v>111198</v>
      </c>
      <c r="G48" s="226">
        <v>119095</v>
      </c>
    </row>
    <row r="49" spans="2:7" s="5" customFormat="1" thickBot="1">
      <c r="B49" s="85" t="str">
        <f>names!$A679</f>
        <v>Pasywa razem</v>
      </c>
      <c r="C49" s="166">
        <v>254538</v>
      </c>
      <c r="D49" s="166">
        <v>260752</v>
      </c>
      <c r="E49" s="166">
        <v>265334</v>
      </c>
      <c r="F49" s="166">
        <v>260227</v>
      </c>
      <c r="G49" s="222">
        <v>272401</v>
      </c>
    </row>
    <row r="50" spans="2:7" s="5" customFormat="1" ht="7.5" customHeight="1">
      <c r="B50" s="1"/>
      <c r="C50" s="434"/>
      <c r="D50" s="434"/>
      <c r="E50" s="434"/>
      <c r="F50" s="434"/>
      <c r="G50" s="434"/>
    </row>
    <row r="51" spans="2:7">
      <c r="B51" s="1" t="str">
        <f>names!$A681</f>
        <v>*) Dane przekształcone.</v>
      </c>
    </row>
    <row r="52" spans="2:7">
      <c r="C52" s="33"/>
      <c r="D52" s="33"/>
      <c r="E52" s="33"/>
      <c r="F52" s="33"/>
      <c r="G52" s="33"/>
    </row>
    <row r="53" spans="2:7" ht="12.75" customHeight="1">
      <c r="B53" s="577"/>
      <c r="C53" s="577"/>
      <c r="D53" s="577"/>
      <c r="E53" s="577"/>
      <c r="F53" s="577"/>
      <c r="G53" s="577"/>
    </row>
    <row r="54" spans="2:7" ht="12.75" customHeight="1">
      <c r="B54" s="4"/>
      <c r="C54" s="36"/>
      <c r="D54" s="36"/>
      <c r="E54" s="36"/>
      <c r="F54" s="36"/>
      <c r="G54" s="36"/>
    </row>
    <row r="55" spans="2:7" ht="12.75" customHeight="1">
      <c r="B55" s="43"/>
      <c r="C55" s="32"/>
      <c r="D55" s="32"/>
      <c r="E55" s="32"/>
      <c r="F55" s="32"/>
      <c r="G55" s="32"/>
    </row>
    <row r="56" spans="2:7" ht="12.75" customHeight="1">
      <c r="C56" s="35"/>
      <c r="D56" s="35"/>
      <c r="E56" s="35"/>
      <c r="F56" s="35"/>
      <c r="G56" s="35"/>
    </row>
    <row r="57" spans="2:7" ht="12.75" customHeight="1"/>
    <row r="58" spans="2:7" ht="25.5" customHeight="1"/>
    <row r="59" spans="2:7" ht="12.75" customHeight="1"/>
    <row r="60" spans="2:7" ht="12.75" customHeight="1"/>
    <row r="61" spans="2:7" ht="12.75" customHeight="1"/>
    <row r="62" spans="2:7" ht="12.75" customHeight="1"/>
    <row r="63" spans="2:7" ht="12.75" customHeight="1"/>
    <row r="64" spans="2: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180" ht="12.75" customHeight="1"/>
    <row r="1181" ht="22.5" customHeight="1"/>
  </sheetData>
  <conditionalFormatting sqref="B53:G53">
    <cfRule type="cellIs" dxfId="117" priority="1" operator="equal">
      <formula>FALSE</formula>
    </cfRule>
  </conditionalFormatting>
  <printOptions horizontalCentered="1"/>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AA76"/>
  <sheetViews>
    <sheetView showGridLines="0" view="pageBreakPreview" zoomScaleNormal="100" zoomScaleSheetLayoutView="100" workbookViewId="0">
      <pane xSplit="2" ySplit="2" topLeftCell="C3" activePane="bottomRight" state="frozen"/>
      <selection activeCell="M2" sqref="M2"/>
      <selection pane="topRight" activeCell="M2" sqref="M2"/>
      <selection pane="bottomLeft" activeCell="M2" sqref="M2"/>
      <selection pane="bottomRight"/>
    </sheetView>
  </sheetViews>
  <sheetFormatPr defaultColWidth="9.28515625" defaultRowHeight="12.75" outlineLevelCol="1"/>
  <cols>
    <col min="1" max="1" width="1.28515625" customWidth="1"/>
    <col min="2" max="2" width="91" style="13" customWidth="1"/>
    <col min="3" max="5" width="8.5703125" style="10" customWidth="1"/>
    <col min="6" max="6" width="8.5703125" style="10" customWidth="1" outlineLevel="1"/>
    <col min="7" max="7" width="10.28515625" style="10" customWidth="1" outlineLevel="1"/>
    <col min="8" max="10" width="8.5703125" style="10" customWidth="1"/>
    <col min="11" max="11" width="8.5703125" style="10" customWidth="1" outlineLevel="1"/>
    <col min="12" max="12" width="10.28515625" style="10" customWidth="1" outlineLevel="1"/>
  </cols>
  <sheetData>
    <row r="1" spans="1:19" ht="11.25" customHeight="1">
      <c r="Q1" s="526"/>
      <c r="R1" s="526"/>
      <c r="S1" s="526"/>
    </row>
    <row r="2" spans="1:19" s="1" customFormat="1" ht="47.25" customHeight="1">
      <c r="B2" s="874" t="str">
        <f>names!A2247</f>
        <v>Skonsolidowane sprawozdanie z przepływów pieniężnych
(mln PLN)</v>
      </c>
      <c r="C2" s="894" t="str">
        <f>names!$A169</f>
        <v>I kw. 
2024</v>
      </c>
      <c r="D2" s="894" t="str">
        <f>names!$A170</f>
        <v>II kw. 
2024</v>
      </c>
      <c r="E2" s="894" t="str">
        <f>names!$A171</f>
        <v>III kw. 
2024</v>
      </c>
      <c r="F2" s="894" t="str">
        <f>names!$A172</f>
        <v>IV kw. 
2024</v>
      </c>
      <c r="G2" s="894" t="str">
        <f>names!$A173</f>
        <v>12 m-cy 2024</v>
      </c>
      <c r="H2" s="894" t="str">
        <f>names!$A174</f>
        <v>I kw. 
2025</v>
      </c>
      <c r="I2" s="894" t="str">
        <f>names!$A175</f>
        <v>II kw. 
2025</v>
      </c>
      <c r="J2" s="894" t="str">
        <f>names!$A176</f>
        <v>III kw. 
2025</v>
      </c>
      <c r="K2" s="894" t="str">
        <f>names!$A177</f>
        <v>IV kw. 
2025</v>
      </c>
      <c r="L2" s="894" t="str">
        <f>names!$A178</f>
        <v>12 m-cy 2025</v>
      </c>
    </row>
    <row r="3" spans="1:19" s="1" customFormat="1" ht="11.25">
      <c r="B3" s="406" t="str">
        <f>names!$A687</f>
        <v>Przepływy pieniężne z działalności operacyjnej</v>
      </c>
      <c r="C3" s="8"/>
      <c r="D3" s="27"/>
      <c r="E3" s="27"/>
      <c r="F3" s="27"/>
      <c r="G3" s="227"/>
      <c r="H3" s="8"/>
      <c r="I3" s="27"/>
      <c r="J3" s="27"/>
      <c r="K3" s="27"/>
      <c r="L3" s="227"/>
    </row>
    <row r="4" spans="1:19" s="1" customFormat="1">
      <c r="B4" s="402" t="str">
        <f>names!$A688</f>
        <v>Zysk/(Strata) przed opodatkowaniem</v>
      </c>
      <c r="C4" s="130">
        <v>4528</v>
      </c>
      <c r="D4" s="130">
        <v>1070</v>
      </c>
      <c r="E4" s="130">
        <v>2341</v>
      </c>
      <c r="F4" s="130">
        <v>1277</v>
      </c>
      <c r="G4" s="228">
        <v>9216</v>
      </c>
      <c r="H4" s="130">
        <v>6618</v>
      </c>
      <c r="I4" s="130">
        <v>3086</v>
      </c>
      <c r="J4" s="130">
        <v>3428</v>
      </c>
      <c r="K4" s="130">
        <v>4425</v>
      </c>
      <c r="L4" s="228">
        <v>17557</v>
      </c>
      <c r="M4"/>
    </row>
    <row r="5" spans="1:19" s="1" customFormat="1">
      <c r="B5" s="46" t="str">
        <f>names!$A689</f>
        <v>Korekty o pozycje:</v>
      </c>
      <c r="C5" s="504"/>
      <c r="D5" s="504"/>
      <c r="E5" s="131"/>
      <c r="F5" s="131"/>
      <c r="G5" s="229"/>
      <c r="H5" s="504"/>
      <c r="I5" s="504"/>
      <c r="J5" s="131"/>
      <c r="K5" s="131"/>
      <c r="L5" s="229"/>
      <c r="M5"/>
    </row>
    <row r="6" spans="1:19" s="1" customFormat="1" ht="11.25" customHeight="1">
      <c r="B6" s="405" t="str">
        <f>names!$A690</f>
        <v>Udział w wyniku finansowym jednostek wycenianych metodą praw własności</v>
      </c>
      <c r="C6" s="504">
        <v>37</v>
      </c>
      <c r="D6" s="504">
        <v>-252</v>
      </c>
      <c r="E6" s="131">
        <v>287</v>
      </c>
      <c r="F6" s="131">
        <v>68</v>
      </c>
      <c r="G6" s="229">
        <v>140</v>
      </c>
      <c r="H6" s="504">
        <v>-287</v>
      </c>
      <c r="I6" s="504">
        <v>36</v>
      </c>
      <c r="J6" s="131">
        <v>-33</v>
      </c>
      <c r="K6" s="131">
        <v>-241</v>
      </c>
      <c r="L6" s="229">
        <v>-525</v>
      </c>
      <c r="M6"/>
    </row>
    <row r="7" spans="1:19" s="1" customFormat="1">
      <c r="B7" s="405" t="str">
        <f>names!$A691</f>
        <v>Amortyzacja</v>
      </c>
      <c r="C7" s="504">
        <v>3356</v>
      </c>
      <c r="D7" s="504">
        <v>3502</v>
      </c>
      <c r="E7" s="131">
        <v>3365</v>
      </c>
      <c r="F7" s="131">
        <v>3791</v>
      </c>
      <c r="G7" s="229">
        <v>14014</v>
      </c>
      <c r="H7" s="504">
        <v>3347</v>
      </c>
      <c r="I7" s="504">
        <v>3491</v>
      </c>
      <c r="J7" s="131">
        <v>3534</v>
      </c>
      <c r="K7" s="131">
        <v>3986</v>
      </c>
      <c r="L7" s="229">
        <v>14358</v>
      </c>
      <c r="M7"/>
    </row>
    <row r="8" spans="1:19" s="1" customFormat="1">
      <c r="B8" s="405" t="str">
        <f>names!$A692</f>
        <v>(Zysk)/Strata z tytułu różnic kursowych</v>
      </c>
      <c r="C8" s="504">
        <v>-116</v>
      </c>
      <c r="D8" s="504">
        <v>15</v>
      </c>
      <c r="E8" s="131">
        <v>-147</v>
      </c>
      <c r="F8" s="131">
        <v>-118</v>
      </c>
      <c r="G8" s="229">
        <v>-366</v>
      </c>
      <c r="H8" s="504">
        <v>-277</v>
      </c>
      <c r="I8" s="504">
        <v>-107</v>
      </c>
      <c r="J8" s="131">
        <v>19</v>
      </c>
      <c r="K8" s="131">
        <v>-144</v>
      </c>
      <c r="L8" s="229">
        <v>-509</v>
      </c>
      <c r="M8"/>
    </row>
    <row r="9" spans="1:19" s="1" customFormat="1">
      <c r="B9" s="405" t="str">
        <f>names!$A1862</f>
        <v>Odsetki netto i dywidendy</v>
      </c>
      <c r="C9" s="504">
        <v>118</v>
      </c>
      <c r="D9" s="504">
        <v>101</v>
      </c>
      <c r="E9" s="496">
        <v>91</v>
      </c>
      <c r="F9" s="131">
        <v>134</v>
      </c>
      <c r="G9" s="229">
        <v>444</v>
      </c>
      <c r="H9" s="504">
        <v>198</v>
      </c>
      <c r="I9" s="504">
        <v>140</v>
      </c>
      <c r="J9" s="496">
        <v>265</v>
      </c>
      <c r="K9" s="131">
        <v>277</v>
      </c>
      <c r="L9" s="229">
        <v>880</v>
      </c>
      <c r="M9"/>
    </row>
    <row r="10" spans="1:19" s="1" customFormat="1">
      <c r="B10" s="405" t="str">
        <f>names!$A695</f>
        <v>(Zysk)/Strata na działalności inwestycyjnej</v>
      </c>
      <c r="C10" s="504">
        <v>735</v>
      </c>
      <c r="D10" s="504">
        <v>483</v>
      </c>
      <c r="E10" s="131">
        <v>3519</v>
      </c>
      <c r="F10" s="131">
        <v>8636</v>
      </c>
      <c r="G10" s="229">
        <v>13373</v>
      </c>
      <c r="H10" s="504">
        <v>1713</v>
      </c>
      <c r="I10" s="504">
        <v>1569</v>
      </c>
      <c r="J10" s="131">
        <v>1638</v>
      </c>
      <c r="K10" s="131">
        <v>3353</v>
      </c>
      <c r="L10" s="229">
        <v>8273</v>
      </c>
      <c r="M10"/>
    </row>
    <row r="11" spans="1:19" s="1" customFormat="1">
      <c r="A11" s="62"/>
      <c r="B11" s="509" t="str">
        <f>names!$A696</f>
        <v xml:space="preserve">Zmiana stanu rezerw </v>
      </c>
      <c r="C11" s="510">
        <v>2016</v>
      </c>
      <c r="D11" s="510">
        <v>933</v>
      </c>
      <c r="E11" s="510">
        <v>1268</v>
      </c>
      <c r="F11" s="151">
        <v>2760</v>
      </c>
      <c r="G11" s="239">
        <v>6977</v>
      </c>
      <c r="H11" s="510">
        <v>2227</v>
      </c>
      <c r="I11" s="510">
        <v>1474</v>
      </c>
      <c r="J11" s="151">
        <v>1812</v>
      </c>
      <c r="K11" s="151">
        <v>3498</v>
      </c>
      <c r="L11" s="239">
        <v>9011</v>
      </c>
      <c r="M11"/>
    </row>
    <row r="12" spans="1:19" s="1" customFormat="1">
      <c r="A12" s="62"/>
      <c r="B12" s="407" t="str">
        <f>names!$A697</f>
        <v>Zmiana stanu kapitału pracującego</v>
      </c>
      <c r="C12" s="506">
        <v>5295</v>
      </c>
      <c r="D12" s="506">
        <v>5511</v>
      </c>
      <c r="E12" s="133">
        <v>-1995</v>
      </c>
      <c r="F12" s="133">
        <v>-874</v>
      </c>
      <c r="G12" s="230">
        <v>7937</v>
      </c>
      <c r="H12" s="506">
        <v>4346</v>
      </c>
      <c r="I12" s="506">
        <v>2414</v>
      </c>
      <c r="J12" s="133">
        <v>-1962</v>
      </c>
      <c r="K12" s="133">
        <v>-2420</v>
      </c>
      <c r="L12" s="230">
        <v>2378</v>
      </c>
      <c r="M12"/>
    </row>
    <row r="13" spans="1:19" s="26" customFormat="1">
      <c r="A13" s="453"/>
      <c r="B13" s="408" t="str">
        <f>names!$A698</f>
        <v>zapasy</v>
      </c>
      <c r="C13" s="505">
        <v>1670</v>
      </c>
      <c r="D13" s="505">
        <v>1173</v>
      </c>
      <c r="E13" s="132">
        <v>-2041</v>
      </c>
      <c r="F13" s="132">
        <v>568</v>
      </c>
      <c r="G13" s="231">
        <v>1370</v>
      </c>
      <c r="H13" s="505">
        <v>4466</v>
      </c>
      <c r="I13" s="505">
        <v>-1136</v>
      </c>
      <c r="J13" s="132">
        <v>-2229</v>
      </c>
      <c r="K13" s="132">
        <v>979</v>
      </c>
      <c r="L13" s="231">
        <v>2080</v>
      </c>
      <c r="M13"/>
      <c r="N13" s="1"/>
      <c r="O13" s="1"/>
      <c r="P13" s="1"/>
    </row>
    <row r="14" spans="1:19" s="26" customFormat="1">
      <c r="A14" s="453"/>
      <c r="B14" s="408" t="str">
        <f>names!$A699</f>
        <v>należności</v>
      </c>
      <c r="C14" s="505">
        <v>4436</v>
      </c>
      <c r="D14" s="505">
        <v>3752</v>
      </c>
      <c r="E14" s="132">
        <v>1542</v>
      </c>
      <c r="F14" s="132">
        <v>-1689</v>
      </c>
      <c r="G14" s="231">
        <v>8041</v>
      </c>
      <c r="H14" s="505">
        <v>-313</v>
      </c>
      <c r="I14" s="505">
        <v>4469</v>
      </c>
      <c r="J14" s="132">
        <v>1069</v>
      </c>
      <c r="K14" s="132">
        <v>-2959</v>
      </c>
      <c r="L14" s="231">
        <v>2266</v>
      </c>
      <c r="M14"/>
      <c r="N14" s="1"/>
      <c r="O14" s="1"/>
      <c r="P14" s="1"/>
    </row>
    <row r="15" spans="1:19" s="26" customFormat="1">
      <c r="A15" s="453"/>
      <c r="B15" s="408" t="str">
        <f>names!$A700</f>
        <v>zobowiązania</v>
      </c>
      <c r="C15" s="505">
        <v>-811</v>
      </c>
      <c r="D15" s="505">
        <v>586</v>
      </c>
      <c r="E15" s="132">
        <v>-1496</v>
      </c>
      <c r="F15" s="132">
        <v>247</v>
      </c>
      <c r="G15" s="231">
        <v>-1474</v>
      </c>
      <c r="H15" s="505">
        <v>193</v>
      </c>
      <c r="I15" s="505">
        <v>-919</v>
      </c>
      <c r="J15" s="132">
        <v>-802</v>
      </c>
      <c r="K15" s="132">
        <v>-440</v>
      </c>
      <c r="L15" s="231">
        <v>-1968</v>
      </c>
      <c r="M15"/>
      <c r="N15" s="1"/>
      <c r="O15" s="1"/>
      <c r="P15" s="1"/>
    </row>
    <row r="16" spans="1:19" s="1" customFormat="1">
      <c r="A16" s="62"/>
      <c r="B16" s="405" t="str">
        <f>names!$A701</f>
        <v>Pozostałe korekty, w tym:</v>
      </c>
      <c r="C16" s="504">
        <v>-2312</v>
      </c>
      <c r="D16" s="504">
        <v>-4510</v>
      </c>
      <c r="E16" s="131">
        <v>-209</v>
      </c>
      <c r="F16" s="131">
        <v>-2947</v>
      </c>
      <c r="G16" s="229">
        <v>-9978</v>
      </c>
      <c r="H16" s="504">
        <v>-370</v>
      </c>
      <c r="I16" s="504">
        <v>232</v>
      </c>
      <c r="J16" s="131">
        <v>167</v>
      </c>
      <c r="K16" s="131">
        <v>1349</v>
      </c>
      <c r="L16" s="229">
        <v>1378</v>
      </c>
      <c r="M16"/>
    </row>
    <row r="17" spans="1:16" s="26" customFormat="1">
      <c r="A17" s="453"/>
      <c r="B17" s="408" t="str">
        <f>names!$A702</f>
        <v>rozliczenie dotacji na prawa majątkowe</v>
      </c>
      <c r="C17" s="505">
        <v>-610</v>
      </c>
      <c r="D17" s="505">
        <v>-693</v>
      </c>
      <c r="E17" s="132">
        <v>-631</v>
      </c>
      <c r="F17" s="132">
        <v>-735</v>
      </c>
      <c r="G17" s="231">
        <v>-2669</v>
      </c>
      <c r="H17" s="505">
        <v>-589</v>
      </c>
      <c r="I17" s="505">
        <v>-653</v>
      </c>
      <c r="J17" s="132">
        <v>-807</v>
      </c>
      <c r="K17" s="132">
        <v>-625</v>
      </c>
      <c r="L17" s="231">
        <v>-2674</v>
      </c>
      <c r="M17"/>
      <c r="N17" s="1"/>
      <c r="O17" s="1"/>
      <c r="P17" s="1"/>
    </row>
    <row r="18" spans="1:16" s="26" customFormat="1">
      <c r="A18" s="453"/>
      <c r="B18" s="408" t="str">
        <f>names!$A703</f>
        <v>depozyty zabezpieczające</v>
      </c>
      <c r="C18" s="505">
        <v>-686</v>
      </c>
      <c r="D18" s="505">
        <v>84</v>
      </c>
      <c r="E18" s="132">
        <v>-167</v>
      </c>
      <c r="F18" s="132">
        <v>175</v>
      </c>
      <c r="G18" s="231">
        <v>-594</v>
      </c>
      <c r="H18" s="505">
        <v>22</v>
      </c>
      <c r="I18" s="505">
        <v>-269</v>
      </c>
      <c r="J18" s="132">
        <v>835</v>
      </c>
      <c r="K18" s="132">
        <v>220</v>
      </c>
      <c r="L18" s="231">
        <v>808</v>
      </c>
      <c r="M18"/>
      <c r="N18" s="1"/>
      <c r="O18" s="1"/>
      <c r="P18" s="1"/>
    </row>
    <row r="19" spans="1:16" s="26" customFormat="1">
      <c r="A19" s="453"/>
      <c r="B19" s="408" t="str">
        <f>names!$A704</f>
        <v>instrumenty pochodne</v>
      </c>
      <c r="C19" s="505">
        <v>-1044</v>
      </c>
      <c r="D19" s="505">
        <v>-479</v>
      </c>
      <c r="E19" s="132">
        <v>-648.69439423999984</v>
      </c>
      <c r="F19" s="132">
        <v>-1860.7431447900003</v>
      </c>
      <c r="G19" s="231">
        <v>-4032.4375390300002</v>
      </c>
      <c r="H19" s="505">
        <v>3</v>
      </c>
      <c r="I19" s="505">
        <v>650</v>
      </c>
      <c r="J19" s="132">
        <v>-410</v>
      </c>
      <c r="K19" s="132">
        <v>1170.26815268</v>
      </c>
      <c r="L19" s="231">
        <v>1413.26815268</v>
      </c>
      <c r="M19"/>
      <c r="N19" s="1"/>
      <c r="O19" s="1"/>
      <c r="P19" s="1"/>
    </row>
    <row r="20" spans="1:16" s="26" customFormat="1">
      <c r="A20" s="453"/>
      <c r="B20" s="408" t="str">
        <f>names!$A705</f>
        <v>zapasy obowiązkowe</v>
      </c>
      <c r="C20" s="505">
        <v>316</v>
      </c>
      <c r="D20" s="505">
        <v>-2423</v>
      </c>
      <c r="E20" s="132">
        <v>1484</v>
      </c>
      <c r="F20" s="132">
        <v>-152</v>
      </c>
      <c r="G20" s="231">
        <v>-775</v>
      </c>
      <c r="H20" s="505">
        <v>184</v>
      </c>
      <c r="I20" s="505">
        <v>710</v>
      </c>
      <c r="J20" s="132">
        <v>-7</v>
      </c>
      <c r="K20" s="132">
        <v>650</v>
      </c>
      <c r="L20" s="231">
        <v>1537</v>
      </c>
      <c r="M20"/>
      <c r="N20" s="1"/>
      <c r="O20" s="1"/>
      <c r="P20" s="1"/>
    </row>
    <row r="21" spans="1:16" s="26" customFormat="1">
      <c r="A21" s="453"/>
      <c r="B21" s="408" t="str">
        <f>names!$A706</f>
        <v>zmiana stanu zobowiązań z tytułu umów z klientami</v>
      </c>
      <c r="C21" s="505">
        <v>508</v>
      </c>
      <c r="D21" s="505">
        <v>-760</v>
      </c>
      <c r="E21" s="132">
        <v>161</v>
      </c>
      <c r="F21" s="132">
        <v>46</v>
      </c>
      <c r="G21" s="231">
        <v>-45</v>
      </c>
      <c r="H21" s="505">
        <v>229</v>
      </c>
      <c r="I21" s="505">
        <v>-312</v>
      </c>
      <c r="J21" s="132">
        <v>219</v>
      </c>
      <c r="K21" s="132">
        <v>149</v>
      </c>
      <c r="L21" s="231">
        <v>285</v>
      </c>
      <c r="M21"/>
      <c r="N21" s="1"/>
      <c r="O21" s="1"/>
      <c r="P21" s="1"/>
    </row>
    <row r="22" spans="1:16" s="26" customFormat="1">
      <c r="A22" s="453"/>
      <c r="B22" s="452" t="str">
        <f>names!$A707</f>
        <v>zmiana stanu aktywów i zobowiązań z tytułu kontraktów wycenionych na moment rozliczenia połączenia jednostek</v>
      </c>
      <c r="C22" s="505">
        <v>-612</v>
      </c>
      <c r="D22" s="505">
        <v>-420</v>
      </c>
      <c r="E22" s="132">
        <v>-380</v>
      </c>
      <c r="F22" s="132">
        <v>-406</v>
      </c>
      <c r="G22" s="231">
        <v>-1818</v>
      </c>
      <c r="H22" s="505">
        <v>-12</v>
      </c>
      <c r="I22" s="505">
        <v>-9</v>
      </c>
      <c r="J22" s="132">
        <v>-10</v>
      </c>
      <c r="K22" s="132">
        <v>-12</v>
      </c>
      <c r="L22" s="231">
        <v>-43</v>
      </c>
      <c r="M22"/>
      <c r="N22" s="1"/>
      <c r="O22" s="1"/>
      <c r="P22" s="1"/>
    </row>
    <row r="23" spans="1:16" s="1" customFormat="1" ht="13.5" thickBot="1">
      <c r="A23" s="62"/>
      <c r="B23" s="46" t="str">
        <f>names!$A708</f>
        <v>Podatek dochodowy (zapłacony)</v>
      </c>
      <c r="C23" s="504">
        <v>-1987</v>
      </c>
      <c r="D23" s="504">
        <v>-890</v>
      </c>
      <c r="E23" s="131">
        <v>52</v>
      </c>
      <c r="F23" s="131">
        <v>-2298</v>
      </c>
      <c r="G23" s="229">
        <v>-5123</v>
      </c>
      <c r="H23" s="504">
        <v>-1773</v>
      </c>
      <c r="I23" s="504">
        <v>-1846</v>
      </c>
      <c r="J23" s="131">
        <v>-650</v>
      </c>
      <c r="K23" s="131">
        <v>-1168</v>
      </c>
      <c r="L23" s="229">
        <v>-5437</v>
      </c>
      <c r="M23"/>
    </row>
    <row r="24" spans="1:16" s="1" customFormat="1" ht="13.5" thickBot="1">
      <c r="A24" s="62"/>
      <c r="B24" s="404" t="str">
        <f>names!$A709</f>
        <v>Środki pieniężne netto z/(wykorzystane w) działalności operacyjnej</v>
      </c>
      <c r="C24" s="134">
        <v>11670</v>
      </c>
      <c r="D24" s="134">
        <v>5963</v>
      </c>
      <c r="E24" s="134">
        <v>8572</v>
      </c>
      <c r="F24" s="134">
        <v>10429</v>
      </c>
      <c r="G24" s="185">
        <v>36634</v>
      </c>
      <c r="H24" s="134">
        <v>15742</v>
      </c>
      <c r="I24" s="134">
        <v>10489</v>
      </c>
      <c r="J24" s="134">
        <v>8218</v>
      </c>
      <c r="K24" s="134">
        <v>12915</v>
      </c>
      <c r="L24" s="185">
        <v>47364</v>
      </c>
      <c r="M24"/>
    </row>
    <row r="25" spans="1:16" s="1" customFormat="1">
      <c r="A25" s="62"/>
      <c r="B25" s="406" t="str">
        <f>names!$A710</f>
        <v>Przepływy pieniężne z działalności inwestycyjnej</v>
      </c>
      <c r="C25" s="504"/>
      <c r="D25" s="504"/>
      <c r="E25" s="131"/>
      <c r="F25" s="131"/>
      <c r="G25" s="229"/>
      <c r="H25" s="504"/>
      <c r="I25" s="504"/>
      <c r="J25" s="131"/>
      <c r="K25" s="131"/>
      <c r="L25" s="229"/>
      <c r="M25"/>
    </row>
    <row r="26" spans="1:16" s="1" customFormat="1">
      <c r="A26" s="62"/>
      <c r="B26" s="500" t="str">
        <f>names!$A711</f>
        <v>Nabycie składników rzeczowego majątku trwałego, wartości niematerialnych i aktywów z tytułu praw do użytkowania</v>
      </c>
      <c r="C26" s="504">
        <v>-8271</v>
      </c>
      <c r="D26" s="504">
        <v>-6670</v>
      </c>
      <c r="E26" s="131">
        <v>-6689</v>
      </c>
      <c r="F26" s="131">
        <v>-9307</v>
      </c>
      <c r="G26" s="229">
        <v>-30937</v>
      </c>
      <c r="H26" s="504">
        <v>-6801</v>
      </c>
      <c r="I26" s="504">
        <v>-6329</v>
      </c>
      <c r="J26" s="131">
        <v>-7288</v>
      </c>
      <c r="K26" s="131">
        <v>-9658</v>
      </c>
      <c r="L26" s="229">
        <v>-30076</v>
      </c>
      <c r="M26"/>
    </row>
    <row r="27" spans="1:16" s="1" customFormat="1" ht="19.5" customHeight="1">
      <c r="A27" s="62"/>
      <c r="B27" s="500" t="str">
        <f>names!$A2192</f>
        <v>Wydatki z tytułu objęcia kontroli nad jednostkami zależnymi i przedsięwzięciami pomniejszone o środki pieniężne w nabytych jednostkach zależnych i przedsięwzięciach</v>
      </c>
      <c r="C27" s="504">
        <v>-1552</v>
      </c>
      <c r="D27" s="504">
        <v>-378</v>
      </c>
      <c r="E27" s="131">
        <v>16</v>
      </c>
      <c r="F27" s="131">
        <v>-1636</v>
      </c>
      <c r="G27" s="229">
        <v>-3550</v>
      </c>
      <c r="H27" s="504">
        <v>1</v>
      </c>
      <c r="I27" s="504">
        <v>-88</v>
      </c>
      <c r="J27" s="131">
        <v>-35</v>
      </c>
      <c r="K27" s="131">
        <v>-755</v>
      </c>
      <c r="L27" s="229">
        <v>-877</v>
      </c>
      <c r="M27"/>
    </row>
    <row r="28" spans="1:16" s="1" customFormat="1" ht="13.5" thickBot="1">
      <c r="A28" s="62"/>
      <c r="B28" s="502" t="str">
        <f>names!$A720</f>
        <v>Pozostałe</v>
      </c>
      <c r="C28" s="504">
        <v>45</v>
      </c>
      <c r="D28" s="504">
        <v>110</v>
      </c>
      <c r="E28" s="131">
        <v>150</v>
      </c>
      <c r="F28" s="131">
        <v>131</v>
      </c>
      <c r="G28" s="229">
        <v>436</v>
      </c>
      <c r="H28" s="504">
        <v>14</v>
      </c>
      <c r="I28" s="504">
        <v>-52</v>
      </c>
      <c r="J28" s="131">
        <v>-36</v>
      </c>
      <c r="K28" s="131">
        <v>178</v>
      </c>
      <c r="L28" s="229">
        <v>104</v>
      </c>
      <c r="M28"/>
    </row>
    <row r="29" spans="1:16" s="1" customFormat="1" ht="12" customHeight="1" thickBot="1">
      <c r="A29" s="62"/>
      <c r="B29" s="404" t="str">
        <f>names!$A721</f>
        <v>Środki pieniężne netto z/(wykorzystane w) działalności inwestycyjnej</v>
      </c>
      <c r="C29" s="134">
        <v>-9778</v>
      </c>
      <c r="D29" s="134">
        <v>-6938</v>
      </c>
      <c r="E29" s="134">
        <v>-6523</v>
      </c>
      <c r="F29" s="134">
        <v>-10812</v>
      </c>
      <c r="G29" s="202">
        <v>-34051</v>
      </c>
      <c r="H29" s="134">
        <v>-6786</v>
      </c>
      <c r="I29" s="134">
        <v>-6469</v>
      </c>
      <c r="J29" s="134">
        <v>-7359</v>
      </c>
      <c r="K29" s="134">
        <v>-10235</v>
      </c>
      <c r="L29" s="202">
        <v>-30849</v>
      </c>
      <c r="M29"/>
    </row>
    <row r="30" spans="1:16" s="1" customFormat="1">
      <c r="A30" s="62"/>
      <c r="B30" s="406" t="str">
        <f>names!$A722</f>
        <v>Przepływy pieniężne z działalności finansowej</v>
      </c>
      <c r="C30" s="135"/>
      <c r="D30" s="135"/>
      <c r="E30" s="135"/>
      <c r="F30" s="135"/>
      <c r="G30" s="232"/>
      <c r="H30" s="135"/>
      <c r="I30" s="135"/>
      <c r="J30" s="135"/>
      <c r="K30" s="135"/>
      <c r="L30" s="232"/>
      <c r="M30"/>
    </row>
    <row r="31" spans="1:16" s="1" customFormat="1">
      <c r="A31" s="62"/>
      <c r="B31" s="502" t="str">
        <f>names!$A723</f>
        <v>Wpływy z otrzymanych kredytów i pożyczek</v>
      </c>
      <c r="C31" s="504">
        <v>1983</v>
      </c>
      <c r="D31" s="943">
        <v>2015</v>
      </c>
      <c r="E31" s="131">
        <v>994</v>
      </c>
      <c r="F31" s="131">
        <v>7969</v>
      </c>
      <c r="G31" s="229">
        <v>12961</v>
      </c>
      <c r="H31" s="504">
        <v>1580</v>
      </c>
      <c r="I31" s="504">
        <v>2397</v>
      </c>
      <c r="J31" s="131">
        <v>1241</v>
      </c>
      <c r="K31" s="131">
        <v>1128</v>
      </c>
      <c r="L31" s="229">
        <v>6345</v>
      </c>
      <c r="M31"/>
    </row>
    <row r="32" spans="1:16" s="1" customFormat="1">
      <c r="A32" s="62"/>
      <c r="B32" s="503" t="str">
        <f>names!$A724</f>
        <v>Spłaty kredytów i pożyczek</v>
      </c>
      <c r="C32" s="504">
        <v>-4816</v>
      </c>
      <c r="D32" s="504">
        <v>-1369</v>
      </c>
      <c r="E32" s="131">
        <v>-2061</v>
      </c>
      <c r="F32" s="131">
        <v>-2270</v>
      </c>
      <c r="G32" s="229">
        <v>-10516</v>
      </c>
      <c r="H32" s="504">
        <v>-5936</v>
      </c>
      <c r="I32" s="504">
        <v>-812</v>
      </c>
      <c r="J32" s="131">
        <v>-574</v>
      </c>
      <c r="K32" s="131">
        <v>-221</v>
      </c>
      <c r="L32" s="229">
        <v>-7542</v>
      </c>
      <c r="M32"/>
    </row>
    <row r="33" spans="1:16" s="1" customFormat="1">
      <c r="A33" s="62"/>
      <c r="B33" s="503" t="str">
        <f>names!$A2193</f>
        <v>Emisja obligacji</v>
      </c>
      <c r="C33" s="504">
        <v>0</v>
      </c>
      <c r="D33" s="504">
        <v>0</v>
      </c>
      <c r="E33" s="131">
        <v>0</v>
      </c>
      <c r="F33" s="131">
        <v>0</v>
      </c>
      <c r="G33" s="229">
        <v>0</v>
      </c>
      <c r="H33" s="504">
        <v>4982</v>
      </c>
      <c r="I33" s="504">
        <v>0</v>
      </c>
      <c r="J33" s="131">
        <v>2526</v>
      </c>
      <c r="K33" s="131">
        <v>2000</v>
      </c>
      <c r="L33" s="229">
        <v>9508</v>
      </c>
      <c r="M33"/>
    </row>
    <row r="34" spans="1:16" s="1" customFormat="1">
      <c r="A34" s="62"/>
      <c r="B34" s="503" t="str">
        <f>names!$A725</f>
        <v>Wykup obligacji</v>
      </c>
      <c r="C34" s="504">
        <v>-23</v>
      </c>
      <c r="D34" s="504">
        <v>-82</v>
      </c>
      <c r="E34" s="131">
        <v>0</v>
      </c>
      <c r="F34" s="131">
        <v>0</v>
      </c>
      <c r="G34" s="229">
        <v>-105</v>
      </c>
      <c r="H34" s="504">
        <v>0</v>
      </c>
      <c r="I34" s="504">
        <v>0</v>
      </c>
      <c r="J34" s="131">
        <v>0</v>
      </c>
      <c r="K34" s="131">
        <v>-1000</v>
      </c>
      <c r="L34" s="229">
        <v>-1000</v>
      </c>
      <c r="M34"/>
    </row>
    <row r="35" spans="1:16" s="1" customFormat="1">
      <c r="A35" s="62"/>
      <c r="B35" s="502" t="str">
        <f>names!$A726</f>
        <v>Odsetki zapłacone od kredytów, pożyczek i obligacji</v>
      </c>
      <c r="C35" s="504">
        <v>-125</v>
      </c>
      <c r="D35" s="504">
        <v>-105</v>
      </c>
      <c r="E35" s="131">
        <v>-179</v>
      </c>
      <c r="F35" s="131">
        <v>-87</v>
      </c>
      <c r="G35" s="229">
        <v>-496</v>
      </c>
      <c r="H35" s="504">
        <v>-110</v>
      </c>
      <c r="I35" s="504">
        <v>-150</v>
      </c>
      <c r="J35" s="131">
        <v>-336</v>
      </c>
      <c r="K35" s="131">
        <v>-164</v>
      </c>
      <c r="L35" s="229">
        <v>-760</v>
      </c>
      <c r="M35"/>
    </row>
    <row r="36" spans="1:16" s="1" customFormat="1">
      <c r="A36" s="62"/>
      <c r="B36" s="502" t="str">
        <f>names!$A1897</f>
        <v>Odsetki zapłacone z tytułu leasingu</v>
      </c>
      <c r="C36" s="504">
        <v>-109</v>
      </c>
      <c r="D36" s="504">
        <v>-136</v>
      </c>
      <c r="E36" s="131">
        <v>-100</v>
      </c>
      <c r="F36" s="131">
        <v>-109</v>
      </c>
      <c r="G36" s="229">
        <v>-454</v>
      </c>
      <c r="H36" s="504">
        <v>-157</v>
      </c>
      <c r="I36" s="504">
        <v>-114</v>
      </c>
      <c r="J36" s="131">
        <v>-115</v>
      </c>
      <c r="K36" s="131">
        <v>-127</v>
      </c>
      <c r="L36" s="229">
        <v>-513</v>
      </c>
      <c r="M36"/>
    </row>
    <row r="37" spans="1:16" s="1" customFormat="1">
      <c r="A37" s="62"/>
      <c r="B37" s="941" t="str">
        <f>names!A1898</f>
        <v>Dywidendy wypłacone</v>
      </c>
      <c r="C37" s="504">
        <v>0</v>
      </c>
      <c r="D37" s="504">
        <v>0</v>
      </c>
      <c r="E37" s="131">
        <v>-1</v>
      </c>
      <c r="F37" s="131">
        <v>-4818</v>
      </c>
      <c r="G37" s="229">
        <v>-4819</v>
      </c>
      <c r="H37" s="504">
        <v>0</v>
      </c>
      <c r="I37" s="504">
        <v>0</v>
      </c>
      <c r="J37" s="131">
        <v>-6967</v>
      </c>
      <c r="K37" s="131">
        <v>0</v>
      </c>
      <c r="L37" s="229">
        <v>-6967</v>
      </c>
      <c r="M37"/>
    </row>
    <row r="38" spans="1:16" s="1" customFormat="1">
      <c r="A38" s="62"/>
      <c r="B38" s="405" t="str">
        <f>names!$A729</f>
        <v>Płatności zobowiązań z tytułu umów leasingu</v>
      </c>
      <c r="C38" s="504">
        <v>-526</v>
      </c>
      <c r="D38" s="504">
        <v>-334</v>
      </c>
      <c r="E38" s="131">
        <v>-350</v>
      </c>
      <c r="F38" s="131">
        <v>-397</v>
      </c>
      <c r="G38" s="229">
        <v>-1607</v>
      </c>
      <c r="H38" s="504">
        <v>-578</v>
      </c>
      <c r="I38" s="504">
        <v>-345</v>
      </c>
      <c r="J38" s="131">
        <v>-358</v>
      </c>
      <c r="K38" s="131">
        <v>-378</v>
      </c>
      <c r="L38" s="229">
        <v>-1659</v>
      </c>
      <c r="M38"/>
    </row>
    <row r="39" spans="1:16" s="1" customFormat="1">
      <c r="A39" s="62"/>
      <c r="B39" s="942" t="str">
        <f>names!A730</f>
        <v>Otrzymane dotacje</v>
      </c>
      <c r="C39" s="943">
        <v>23</v>
      </c>
      <c r="D39" s="943">
        <v>70</v>
      </c>
      <c r="E39" s="496">
        <v>28</v>
      </c>
      <c r="F39" s="131">
        <v>305</v>
      </c>
      <c r="G39" s="229">
        <v>426</v>
      </c>
      <c r="H39" s="504">
        <v>21</v>
      </c>
      <c r="I39" s="943">
        <v>975</v>
      </c>
      <c r="J39" s="496">
        <v>132</v>
      </c>
      <c r="K39" s="131">
        <v>424</v>
      </c>
      <c r="L39" s="229">
        <v>1552</v>
      </c>
      <c r="M39"/>
    </row>
    <row r="40" spans="1:16" s="1" customFormat="1" ht="13.5" thickBot="1">
      <c r="A40" s="62"/>
      <c r="B40" s="942" t="str">
        <f>names!$A731</f>
        <v>Pozostałe</v>
      </c>
      <c r="C40" s="943">
        <v>-56</v>
      </c>
      <c r="D40" s="943">
        <v>-30</v>
      </c>
      <c r="E40" s="496">
        <v>-25</v>
      </c>
      <c r="F40" s="131">
        <v>-40</v>
      </c>
      <c r="G40" s="229">
        <v>-151</v>
      </c>
      <c r="H40" s="504">
        <v>-35</v>
      </c>
      <c r="I40" s="943">
        <v>-61</v>
      </c>
      <c r="J40" s="496">
        <v>-27</v>
      </c>
      <c r="K40" s="131">
        <v>-31</v>
      </c>
      <c r="L40" s="229">
        <v>-154</v>
      </c>
      <c r="M40"/>
    </row>
    <row r="41" spans="1:16" s="1" customFormat="1" ht="13.5" thickBot="1">
      <c r="A41" s="62"/>
      <c r="B41" s="404" t="str">
        <f>names!$A732</f>
        <v>Środki pieniężne netto z/(wykorzystane w) działalności finansowej</v>
      </c>
      <c r="C41" s="134">
        <v>-3649</v>
      </c>
      <c r="D41" s="134">
        <v>29</v>
      </c>
      <c r="E41" s="134">
        <v>-1694</v>
      </c>
      <c r="F41" s="134">
        <v>553</v>
      </c>
      <c r="G41" s="185">
        <v>-4761</v>
      </c>
      <c r="H41" s="134">
        <v>-233</v>
      </c>
      <c r="I41" s="134">
        <v>1890</v>
      </c>
      <c r="J41" s="134">
        <v>-4478</v>
      </c>
      <c r="K41" s="134">
        <v>1631</v>
      </c>
      <c r="L41" s="185">
        <v>-1190</v>
      </c>
      <c r="M41"/>
    </row>
    <row r="42" spans="1:16" s="55" customFormat="1">
      <c r="A42" s="64"/>
      <c r="B42" s="410"/>
      <c r="C42" s="944"/>
      <c r="D42" s="944"/>
      <c r="E42" s="945"/>
      <c r="F42" s="945"/>
      <c r="G42" s="233"/>
      <c r="H42" s="130"/>
      <c r="I42" s="130"/>
      <c r="J42" s="130"/>
      <c r="K42" s="945"/>
      <c r="L42" s="233"/>
      <c r="M42"/>
      <c r="N42" s="1"/>
      <c r="O42" s="1"/>
      <c r="P42" s="1"/>
    </row>
    <row r="43" spans="1:16" s="1" customFormat="1">
      <c r="A43" s="62"/>
      <c r="B43" s="402" t="str">
        <f>names!$A734</f>
        <v>Zwiększenie/(Zmniejszenie) netto stanu środków pieniężnych</v>
      </c>
      <c r="C43" s="130">
        <v>-1757</v>
      </c>
      <c r="D43" s="130">
        <v>-946</v>
      </c>
      <c r="E43" s="130">
        <v>355</v>
      </c>
      <c r="F43" s="130">
        <v>170</v>
      </c>
      <c r="G43" s="228">
        <v>-2178</v>
      </c>
      <c r="H43" s="130">
        <v>8723</v>
      </c>
      <c r="I43" s="130">
        <v>5910</v>
      </c>
      <c r="J43" s="130">
        <v>-3619</v>
      </c>
      <c r="K43" s="130">
        <v>4311</v>
      </c>
      <c r="L43" s="228">
        <v>15325</v>
      </c>
      <c r="M43"/>
    </row>
    <row r="44" spans="1:16" s="1" customFormat="1" ht="13.5" thickBot="1">
      <c r="A44" s="123"/>
      <c r="B44" s="407" t="str">
        <f>names!$A735</f>
        <v>Zmiana stanu środków pieniężnych i ich ekwiwalentów z tytułu różnic kursowych</v>
      </c>
      <c r="C44" s="506">
        <v>-111</v>
      </c>
      <c r="D44" s="506">
        <v>-36</v>
      </c>
      <c r="E44" s="133">
        <v>42</v>
      </c>
      <c r="F44" s="133">
        <v>43</v>
      </c>
      <c r="G44" s="230">
        <v>-62</v>
      </c>
      <c r="H44" s="506">
        <v>-130</v>
      </c>
      <c r="I44" s="506">
        <v>24</v>
      </c>
      <c r="J44" s="133">
        <v>184</v>
      </c>
      <c r="K44" s="133">
        <v>3</v>
      </c>
      <c r="L44" s="230">
        <v>81</v>
      </c>
      <c r="M44"/>
    </row>
    <row r="45" spans="1:16" s="1" customFormat="1" ht="13.5" thickBot="1">
      <c r="A45" s="62"/>
      <c r="B45" s="404" t="str">
        <f>names!$A736</f>
        <v>Środki pieniężne na początek okresu</v>
      </c>
      <c r="C45" s="134">
        <v>13282</v>
      </c>
      <c r="D45" s="134">
        <v>11414</v>
      </c>
      <c r="E45" s="134">
        <v>10432</v>
      </c>
      <c r="F45" s="134">
        <v>10829</v>
      </c>
      <c r="G45" s="185">
        <v>13282</v>
      </c>
      <c r="H45" s="134">
        <v>11042</v>
      </c>
      <c r="I45" s="134">
        <v>19635</v>
      </c>
      <c r="J45" s="134">
        <v>25569</v>
      </c>
      <c r="K45" s="134">
        <v>22134</v>
      </c>
      <c r="L45" s="185">
        <v>11042</v>
      </c>
      <c r="M45"/>
    </row>
    <row r="46" spans="1:16" s="55" customFormat="1" ht="13.5" thickBot="1">
      <c r="A46" s="64"/>
      <c r="B46" s="411"/>
      <c r="C46" s="508"/>
      <c r="D46" s="508"/>
      <c r="E46" s="137"/>
      <c r="F46" s="137"/>
      <c r="G46" s="234"/>
      <c r="H46" s="508"/>
      <c r="I46" s="508"/>
      <c r="J46" s="137"/>
      <c r="K46" s="137"/>
      <c r="L46" s="234"/>
      <c r="M46"/>
      <c r="N46" s="1"/>
      <c r="O46" s="1"/>
      <c r="P46" s="1"/>
    </row>
    <row r="47" spans="1:16" s="1" customFormat="1" ht="13.5" thickBot="1">
      <c r="A47" s="62"/>
      <c r="B47" s="404" t="str">
        <f>names!$A738</f>
        <v>Środki pieniężne na koniec okresu</v>
      </c>
      <c r="C47" s="134">
        <v>11414</v>
      </c>
      <c r="D47" s="134">
        <v>10432</v>
      </c>
      <c r="E47" s="134">
        <v>10829</v>
      </c>
      <c r="F47" s="134">
        <v>11042</v>
      </c>
      <c r="G47" s="185">
        <v>11042</v>
      </c>
      <c r="H47" s="134">
        <v>19635</v>
      </c>
      <c r="I47" s="134">
        <v>25569</v>
      </c>
      <c r="J47" s="134">
        <v>22134</v>
      </c>
      <c r="K47" s="134">
        <v>26448</v>
      </c>
      <c r="L47" s="185">
        <v>26448</v>
      </c>
      <c r="M47"/>
    </row>
    <row r="48" spans="1:16" ht="12" customHeight="1">
      <c r="A48" s="28"/>
      <c r="B48" s="468" t="str">
        <f>names!$A739</f>
        <v>w tym środki pieniężne o ograniczonej możliwości dysponowania</v>
      </c>
      <c r="C48" s="505">
        <v>1155</v>
      </c>
      <c r="D48" s="505">
        <v>763</v>
      </c>
      <c r="E48" s="132">
        <v>825</v>
      </c>
      <c r="F48" s="132">
        <v>1405</v>
      </c>
      <c r="G48" s="132">
        <v>1405</v>
      </c>
      <c r="H48" s="505">
        <v>925</v>
      </c>
      <c r="I48" s="505">
        <v>824</v>
      </c>
      <c r="J48" s="132">
        <v>1070</v>
      </c>
      <c r="K48" s="132">
        <v>984</v>
      </c>
      <c r="L48" s="132">
        <v>984</v>
      </c>
      <c r="N48" s="1"/>
      <c r="O48" s="1"/>
      <c r="P48" s="1"/>
    </row>
    <row r="49" spans="1:27" ht="11.25" customHeight="1">
      <c r="A49" s="28"/>
      <c r="C49" s="183"/>
      <c r="D49" s="183"/>
      <c r="E49" s="183"/>
      <c r="F49" s="183"/>
      <c r="G49" s="183"/>
      <c r="H49" s="183"/>
      <c r="I49" s="183"/>
      <c r="J49" s="183"/>
      <c r="K49" s="183"/>
      <c r="L49" s="183"/>
      <c r="O49" s="1"/>
      <c r="P49" s="1"/>
    </row>
    <row r="50" spans="1:27" ht="14.25" customHeight="1">
      <c r="A50" s="28"/>
      <c r="B50" s="474"/>
      <c r="C50"/>
      <c r="D50"/>
      <c r="E50" s="21"/>
      <c r="F50" s="21"/>
      <c r="G50" s="21"/>
      <c r="H50"/>
      <c r="I50"/>
      <c r="J50" s="21"/>
      <c r="K50" s="21"/>
      <c r="L50" s="21"/>
    </row>
    <row r="51" spans="1:27" ht="12.75" customHeight="1">
      <c r="B51" s="577"/>
      <c r="C51" s="577"/>
      <c r="D51" s="577"/>
      <c r="E51" s="577"/>
      <c r="F51" s="577"/>
      <c r="G51" s="577"/>
      <c r="H51" s="577"/>
      <c r="I51" s="577"/>
      <c r="J51" s="577"/>
      <c r="K51" s="577"/>
      <c r="L51" s="577"/>
      <c r="M51" s="577"/>
      <c r="N51" s="577"/>
      <c r="O51" s="577"/>
      <c r="P51" s="577"/>
      <c r="Q51" s="577"/>
      <c r="R51" s="577"/>
      <c r="S51" s="577"/>
      <c r="T51" s="577"/>
      <c r="U51" s="577"/>
      <c r="V51" s="577"/>
      <c r="W51" s="577"/>
      <c r="X51" s="577"/>
      <c r="Y51" s="577"/>
      <c r="Z51" s="577"/>
      <c r="AA51" s="577"/>
    </row>
    <row r="52" spans="1:27">
      <c r="A52" s="28"/>
      <c r="B52" s="46"/>
      <c r="C52" s="23"/>
      <c r="D52" s="23"/>
      <c r="E52" s="23"/>
      <c r="F52" s="23"/>
      <c r="G52" s="23"/>
      <c r="H52" s="23"/>
      <c r="I52" s="23"/>
      <c r="J52" s="23"/>
      <c r="K52" s="23"/>
      <c r="L52" s="23"/>
    </row>
    <row r="53" spans="1:27">
      <c r="A53" s="28"/>
      <c r="B53" s="46"/>
      <c r="C53" s="23"/>
      <c r="D53" s="23"/>
      <c r="E53" s="23"/>
      <c r="F53" s="23"/>
      <c r="G53" s="23"/>
      <c r="H53" s="23"/>
      <c r="I53" s="23"/>
      <c r="J53" s="23"/>
      <c r="K53" s="23"/>
      <c r="L53" s="23"/>
    </row>
    <row r="54" spans="1:27">
      <c r="A54" s="28"/>
      <c r="B54" s="46"/>
      <c r="C54" s="23"/>
      <c r="D54" s="23"/>
      <c r="E54" s="23"/>
      <c r="F54" s="23"/>
      <c r="G54" s="23"/>
      <c r="H54" s="23"/>
      <c r="I54" s="23"/>
      <c r="J54" s="23"/>
      <c r="K54" s="23"/>
      <c r="L54" s="23"/>
    </row>
    <row r="55" spans="1:27">
      <c r="A55" s="28"/>
      <c r="B55" s="46"/>
      <c r="C55" s="23"/>
      <c r="D55" s="23"/>
      <c r="E55" s="23"/>
      <c r="F55" s="23"/>
      <c r="G55" s="23"/>
      <c r="H55" s="23"/>
      <c r="I55" s="23"/>
      <c r="J55" s="23"/>
      <c r="K55" s="23"/>
      <c r="L55" s="23"/>
    </row>
    <row r="56" spans="1:27">
      <c r="A56" s="28"/>
      <c r="B56" s="46"/>
      <c r="C56" s="23"/>
      <c r="D56" s="23"/>
      <c r="E56" s="23"/>
      <c r="F56" s="23"/>
      <c r="G56" s="23"/>
      <c r="H56" s="23"/>
      <c r="I56" s="23"/>
      <c r="J56" s="23"/>
      <c r="K56" s="23"/>
      <c r="L56" s="23"/>
    </row>
    <row r="57" spans="1:27">
      <c r="A57" s="28"/>
      <c r="B57" s="46"/>
      <c r="C57" s="23"/>
      <c r="D57" s="23"/>
      <c r="E57" s="23"/>
      <c r="F57" s="23"/>
      <c r="G57" s="23"/>
      <c r="H57" s="23"/>
      <c r="I57" s="23"/>
      <c r="J57" s="23"/>
      <c r="K57" s="23"/>
      <c r="L57" s="23"/>
    </row>
    <row r="58" spans="1:27">
      <c r="A58" s="28"/>
      <c r="B58" s="46"/>
      <c r="C58" s="23"/>
      <c r="D58" s="23"/>
      <c r="E58" s="23"/>
      <c r="F58" s="23"/>
      <c r="G58" s="23"/>
      <c r="H58" s="23"/>
      <c r="I58" s="23"/>
      <c r="J58" s="23"/>
      <c r="K58" s="23"/>
      <c r="L58" s="23"/>
    </row>
    <row r="59" spans="1:27">
      <c r="A59" s="28"/>
      <c r="B59" s="46"/>
      <c r="C59" s="23"/>
      <c r="D59" s="23"/>
      <c r="E59" s="23"/>
      <c r="F59" s="23"/>
      <c r="G59" s="23"/>
      <c r="H59" s="23"/>
      <c r="I59" s="23"/>
      <c r="J59" s="23"/>
      <c r="K59" s="23"/>
      <c r="L59" s="23"/>
    </row>
    <row r="60" spans="1:27">
      <c r="A60" s="28"/>
      <c r="B60" s="46"/>
    </row>
    <row r="61" spans="1:27">
      <c r="A61" s="28"/>
    </row>
    <row r="62" spans="1:27">
      <c r="A62" s="28"/>
    </row>
    <row r="63" spans="1:27">
      <c r="A63" s="28"/>
    </row>
    <row r="64" spans="1:27">
      <c r="A64" s="28"/>
    </row>
    <row r="65" spans="1:12">
      <c r="A65" s="28"/>
    </row>
    <row r="66" spans="1:12">
      <c r="A66" s="28"/>
    </row>
    <row r="67" spans="1:12">
      <c r="A67" s="28"/>
    </row>
    <row r="68" spans="1:12">
      <c r="A68" s="28"/>
    </row>
    <row r="69" spans="1:12">
      <c r="A69" s="28"/>
    </row>
    <row r="70" spans="1:12">
      <c r="A70" s="28"/>
    </row>
    <row r="71" spans="1:12">
      <c r="A71" s="28"/>
    </row>
    <row r="72" spans="1:12">
      <c r="A72" s="28"/>
    </row>
    <row r="73" spans="1:12">
      <c r="A73" s="28"/>
    </row>
    <row r="74" spans="1:12">
      <c r="A74" s="28"/>
    </row>
    <row r="75" spans="1:12" s="13" customFormat="1">
      <c r="A75" s="28"/>
      <c r="C75" s="10"/>
      <c r="D75" s="10"/>
      <c r="E75" s="10"/>
      <c r="F75" s="10"/>
      <c r="G75" s="10"/>
      <c r="H75" s="10"/>
      <c r="I75" s="10"/>
      <c r="J75" s="10"/>
      <c r="K75" s="10"/>
      <c r="L75" s="10"/>
    </row>
    <row r="76" spans="1:12" s="13" customFormat="1">
      <c r="A76" s="28"/>
      <c r="C76" s="10"/>
      <c r="D76" s="10"/>
      <c r="E76" s="10"/>
      <c r="F76" s="10"/>
      <c r="G76" s="10"/>
      <c r="H76" s="10"/>
      <c r="I76" s="10"/>
      <c r="J76" s="10"/>
      <c r="K76" s="10"/>
      <c r="L76" s="10"/>
    </row>
  </sheetData>
  <conditionalFormatting sqref="B51:AA51">
    <cfRule type="cellIs" dxfId="116"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4:Q4"/>
  <sheetViews>
    <sheetView showGridLines="0" view="pageBreakPreview" zoomScaleNormal="100" zoomScaleSheetLayoutView="100" workbookViewId="0"/>
  </sheetViews>
  <sheetFormatPr defaultRowHeight="12.75"/>
  <cols>
    <col min="16" max="16" width="1" customWidth="1"/>
  </cols>
  <sheetData>
    <row r="4" spans="1:17" ht="37.5">
      <c r="A4" s="491" t="str">
        <f>names!A741</f>
        <v>Wybrane dane operacyjne</v>
      </c>
      <c r="Q4" s="577"/>
    </row>
  </sheetData>
  <conditionalFormatting sqref="Q4">
    <cfRule type="cellIs" dxfId="115" priority="1" operator="equal">
      <formula>FALSE</formula>
    </cfRule>
  </conditionalFormatting>
  <pageMargins left="0.70866141732283472" right="0.70866141732283472" top="0.74803149606299213" bottom="0.74803149606299213" header="0.31496062992125984" footer="0.31496062992125984"/>
  <pageSetup paperSize="9" scale="96"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66EF5-EEAA-454B-9738-F03EDDBB819D}">
  <sheetPr>
    <tabColor rgb="FFFF0000"/>
    <pageSetUpPr fitToPage="1"/>
  </sheetPr>
  <dimension ref="B1:N24"/>
  <sheetViews>
    <sheetView showGridLines="0" view="pageBreakPreview" zoomScaleNormal="100" zoomScaleSheetLayoutView="100" workbookViewId="0">
      <pane xSplit="2" ySplit="2" topLeftCell="C3" activePane="bottomRight" state="frozen"/>
      <selection activeCell="AQ16" sqref="AQ16"/>
      <selection pane="topRight" activeCell="AQ16" sqref="AQ16"/>
      <selection pane="bottomLeft" activeCell="AQ16" sqref="AQ16"/>
      <selection pane="bottomRight"/>
    </sheetView>
  </sheetViews>
  <sheetFormatPr defaultColWidth="9.28515625" defaultRowHeight="15"/>
  <cols>
    <col min="1" max="1" width="1.28515625" style="339" customWidth="1"/>
    <col min="2" max="2" width="44.5703125" style="339" bestFit="1" customWidth="1"/>
    <col min="3" max="5" width="9.28515625" style="339"/>
    <col min="6" max="8" width="9.28515625" style="339" customWidth="1"/>
    <col min="9" max="16384" width="9.28515625" style="339"/>
  </cols>
  <sheetData>
    <row r="1" spans="2:12" ht="12.75" customHeight="1">
      <c r="B1" s="800"/>
    </row>
    <row r="2" spans="2:12" ht="38.25" customHeight="1">
      <c r="B2" s="874" t="str">
        <f>names!A2217</f>
        <v>Produkcja Downstream</v>
      </c>
      <c r="C2" s="894" t="str">
        <f>names!$A169</f>
        <v>I kw. 
2024</v>
      </c>
      <c r="D2" s="894" t="str">
        <f>names!$A170</f>
        <v>II kw. 
2024</v>
      </c>
      <c r="E2" s="894" t="str">
        <f>names!$A171</f>
        <v>III kw. 
2024</v>
      </c>
      <c r="F2" s="894" t="str">
        <f>names!$A172</f>
        <v>IV kw. 
2024</v>
      </c>
      <c r="G2" s="894" t="str">
        <f>names!$A173</f>
        <v>12 m-cy 2024</v>
      </c>
      <c r="H2" s="894" t="str">
        <f>names!$A174</f>
        <v>I kw. 
2025</v>
      </c>
      <c r="I2" s="894" t="str">
        <f>names!$A175</f>
        <v>II kw. 
2025</v>
      </c>
      <c r="J2" s="894" t="str">
        <f>names!$A176</f>
        <v>III kw. 
2025</v>
      </c>
      <c r="K2" s="894" t="str">
        <f>names!$A177</f>
        <v>IV kw. 
2025</v>
      </c>
      <c r="L2" s="894" t="str">
        <f>names!$A178</f>
        <v>12 m-cy 2025</v>
      </c>
    </row>
    <row r="3" spans="2:12" ht="29.25" customHeight="1">
      <c r="B3" s="911" t="str">
        <f>names!A2218</f>
        <v>Przerób ropy w Grupie ORLEN (tys.t)</v>
      </c>
      <c r="C3" s="913">
        <v>9549</v>
      </c>
      <c r="D3" s="913">
        <v>9356</v>
      </c>
      <c r="E3" s="913">
        <v>10052</v>
      </c>
      <c r="F3" s="913">
        <v>9551</v>
      </c>
      <c r="G3" s="913">
        <v>38508</v>
      </c>
      <c r="H3" s="913">
        <v>9235</v>
      </c>
      <c r="I3" s="913">
        <v>9847</v>
      </c>
      <c r="J3" s="913">
        <v>10167</v>
      </c>
      <c r="K3" s="913">
        <v>10324</v>
      </c>
      <c r="L3" s="913">
        <v>39573</v>
      </c>
    </row>
    <row r="4" spans="2:12">
      <c r="B4" s="915" t="str">
        <f>names!A2219</f>
        <v>Wykorzystanie mocy przerobowych</v>
      </c>
      <c r="C4" s="916">
        <v>0.9</v>
      </c>
      <c r="D4" s="916">
        <v>0.88</v>
      </c>
      <c r="E4" s="916">
        <v>0.94</v>
      </c>
      <c r="F4" s="916">
        <v>0.89</v>
      </c>
      <c r="G4" s="916">
        <v>0.9</v>
      </c>
      <c r="H4" s="916">
        <v>0.88</v>
      </c>
      <c r="I4" s="916">
        <v>0.93</v>
      </c>
      <c r="J4" s="916">
        <v>0.94</v>
      </c>
      <c r="K4" s="916">
        <v>0.96</v>
      </c>
      <c r="L4" s="916">
        <v>0.93</v>
      </c>
    </row>
    <row r="5" spans="2:12" ht="29.25" customHeight="1">
      <c r="B5" s="912" t="str">
        <f>names!A2220</f>
        <v>Przerób ropy w ORLEN S.A. (tys.t)</v>
      </c>
      <c r="C5" s="914">
        <v>5595</v>
      </c>
      <c r="D5" s="914">
        <v>5637</v>
      </c>
      <c r="E5" s="914">
        <v>5882</v>
      </c>
      <c r="F5" s="914">
        <v>5659</v>
      </c>
      <c r="G5" s="914">
        <v>22773</v>
      </c>
      <c r="H5" s="914">
        <v>5116</v>
      </c>
      <c r="I5" s="914">
        <v>5723</v>
      </c>
      <c r="J5" s="914">
        <v>6020</v>
      </c>
      <c r="K5" s="914">
        <v>5952</v>
      </c>
      <c r="L5" s="914">
        <v>22811</v>
      </c>
    </row>
    <row r="6" spans="2:12">
      <c r="B6" s="915" t="str">
        <f>names!A2221</f>
        <v>Wykorzystanie mocy przerobowych</v>
      </c>
      <c r="C6" s="916">
        <v>0.94</v>
      </c>
      <c r="D6" s="916">
        <v>0.96</v>
      </c>
      <c r="E6" s="916">
        <v>0.98</v>
      </c>
      <c r="F6" s="916">
        <v>0.95</v>
      </c>
      <c r="G6" s="916">
        <v>0.96</v>
      </c>
      <c r="H6" s="916">
        <v>0.88</v>
      </c>
      <c r="I6" s="916">
        <v>0.97</v>
      </c>
      <c r="J6" s="916">
        <v>1</v>
      </c>
      <c r="K6" s="916">
        <v>1</v>
      </c>
      <c r="L6" s="916">
        <v>0.96</v>
      </c>
    </row>
    <row r="7" spans="2:12">
      <c r="B7" s="915" t="str">
        <f>names!A2222</f>
        <v>Uzysk produktów białych</v>
      </c>
      <c r="C7" s="916">
        <v>0.84199999999999997</v>
      </c>
      <c r="D7" s="916">
        <v>0.81899999999999995</v>
      </c>
      <c r="E7" s="916">
        <v>0.81669542263936157</v>
      </c>
      <c r="F7" s="916">
        <v>0.81612916312095107</v>
      </c>
      <c r="G7" s="916">
        <v>0.82325210930093018</v>
      </c>
      <c r="H7" s="916">
        <v>0.83199999999999996</v>
      </c>
      <c r="I7" s="916">
        <v>0.8246380383402695</v>
      </c>
      <c r="J7" s="916">
        <v>0.82299325829772163</v>
      </c>
      <c r="K7" s="916">
        <v>0.82099999999999995</v>
      </c>
      <c r="L7" s="916">
        <v>0.82484152386063592</v>
      </c>
    </row>
    <row r="8" spans="2:12" ht="29.25" customHeight="1">
      <c r="B8" s="912" t="str">
        <f>names!A2226</f>
        <v>Przerób ropy w Unipetrolu (tys.t)</v>
      </c>
      <c r="C8" s="914">
        <v>1836</v>
      </c>
      <c r="D8" s="914">
        <v>1076</v>
      </c>
      <c r="E8" s="914">
        <v>1667</v>
      </c>
      <c r="F8" s="914">
        <v>1998</v>
      </c>
      <c r="G8" s="914">
        <v>6577</v>
      </c>
      <c r="H8" s="914">
        <v>1654</v>
      </c>
      <c r="I8" s="914">
        <v>1704</v>
      </c>
      <c r="J8" s="914">
        <v>1643</v>
      </c>
      <c r="K8" s="914">
        <v>2039</v>
      </c>
      <c r="L8" s="914">
        <v>7040</v>
      </c>
    </row>
    <row r="9" spans="2:12">
      <c r="B9" s="915" t="str">
        <f>names!A2221</f>
        <v>Wykorzystanie mocy przerobowych</v>
      </c>
      <c r="C9" s="916">
        <v>0.85</v>
      </c>
      <c r="D9" s="916">
        <v>0.5</v>
      </c>
      <c r="E9" s="916">
        <v>0.76</v>
      </c>
      <c r="F9" s="916">
        <v>0.91</v>
      </c>
      <c r="G9" s="916">
        <v>0.76</v>
      </c>
      <c r="H9" s="916">
        <v>0.77</v>
      </c>
      <c r="I9" s="916">
        <v>0.79</v>
      </c>
      <c r="J9" s="916">
        <v>0.75</v>
      </c>
      <c r="K9" s="916">
        <v>0.93</v>
      </c>
      <c r="L9" s="916">
        <v>0.81</v>
      </c>
    </row>
    <row r="10" spans="2:12">
      <c r="B10" s="915" t="str">
        <f>names!A2222</f>
        <v>Uzysk produktów białych</v>
      </c>
      <c r="C10" s="916">
        <v>0.82399999999999995</v>
      </c>
      <c r="D10" s="916">
        <v>0.85299999999999998</v>
      </c>
      <c r="E10" s="916">
        <v>0.8303685462700171</v>
      </c>
      <c r="F10" s="916">
        <v>0.82380339106311617</v>
      </c>
      <c r="G10" s="916">
        <v>0.83036172483005077</v>
      </c>
      <c r="H10" s="916">
        <v>0.83899999999999997</v>
      </c>
      <c r="I10" s="916">
        <v>0.833884650464639</v>
      </c>
      <c r="J10" s="916">
        <v>0.82741780183757407</v>
      </c>
      <c r="K10" s="916">
        <v>0.82603696482193301</v>
      </c>
      <c r="L10" s="916">
        <v>0.83140199820837746</v>
      </c>
    </row>
    <row r="11" spans="2:12" ht="29.25" customHeight="1">
      <c r="B11" s="912" t="str">
        <f>names!A2231</f>
        <v>Przerób ropy w ORLEN Lietuva (tys.t)</v>
      </c>
      <c r="C11" s="914">
        <v>2035</v>
      </c>
      <c r="D11" s="914">
        <v>2552</v>
      </c>
      <c r="E11" s="914">
        <v>2445</v>
      </c>
      <c r="F11" s="914">
        <v>1814</v>
      </c>
      <c r="G11" s="914">
        <v>8846</v>
      </c>
      <c r="H11" s="914">
        <v>2374</v>
      </c>
      <c r="I11" s="914">
        <v>2330</v>
      </c>
      <c r="J11" s="914">
        <v>2452</v>
      </c>
      <c r="K11" s="914">
        <v>2244</v>
      </c>
      <c r="L11" s="914">
        <v>9400</v>
      </c>
    </row>
    <row r="12" spans="2:12">
      <c r="B12" s="915" t="str">
        <f>names!A2221</f>
        <v>Wykorzystanie mocy przerobowych</v>
      </c>
      <c r="C12" s="916">
        <v>0.8</v>
      </c>
      <c r="D12" s="916">
        <v>1.01</v>
      </c>
      <c r="E12" s="916">
        <v>0.95</v>
      </c>
      <c r="F12" s="916">
        <v>0.71</v>
      </c>
      <c r="G12" s="916">
        <v>0.87</v>
      </c>
      <c r="H12" s="916">
        <v>0.93</v>
      </c>
      <c r="I12" s="916">
        <v>0.9</v>
      </c>
      <c r="J12" s="916">
        <v>0.94</v>
      </c>
      <c r="K12" s="916">
        <v>0.86</v>
      </c>
      <c r="L12" s="916">
        <v>0.91</v>
      </c>
    </row>
    <row r="13" spans="2:12">
      <c r="B13" s="959" t="str">
        <f>names!A2222</f>
        <v>Uzysk produktów białych</v>
      </c>
      <c r="C13" s="963">
        <v>0.77600000000000002</v>
      </c>
      <c r="D13" s="963">
        <v>0.77800000000000002</v>
      </c>
      <c r="E13" s="963">
        <v>0.78401537639886587</v>
      </c>
      <c r="F13" s="963">
        <v>0.77855829689206946</v>
      </c>
      <c r="G13" s="963">
        <v>0.77930162369954914</v>
      </c>
      <c r="H13" s="963">
        <v>0.76400000000000001</v>
      </c>
      <c r="I13" s="963">
        <v>0.78409898383629628</v>
      </c>
      <c r="J13" s="963">
        <v>0.79648678711523457</v>
      </c>
      <c r="K13" s="963">
        <v>0.76409820008948337</v>
      </c>
      <c r="L13" s="963">
        <v>0.77749973688521035</v>
      </c>
    </row>
    <row r="14" spans="2:12">
      <c r="B14" s="814"/>
      <c r="C14" s="917"/>
      <c r="D14" s="917"/>
      <c r="E14" s="917"/>
      <c r="F14" s="917"/>
      <c r="G14" s="917"/>
      <c r="H14" s="917"/>
    </row>
    <row r="15" spans="2:12">
      <c r="B15" s="814"/>
      <c r="C15" s="917"/>
      <c r="D15" s="917"/>
      <c r="E15" s="917"/>
      <c r="F15" s="917"/>
      <c r="G15" s="917"/>
      <c r="H15" s="917"/>
    </row>
    <row r="16" spans="2:12" ht="26.25" thickBot="1">
      <c r="B16" s="918" t="str">
        <f>names!A2238</f>
        <v>Instalacje petrochemiczne
(wykorzystanie mocy)</v>
      </c>
      <c r="C16" s="919"/>
      <c r="D16" s="919"/>
      <c r="E16" s="919"/>
      <c r="F16" s="919"/>
      <c r="G16" s="919"/>
      <c r="H16" s="919"/>
      <c r="I16" s="919"/>
      <c r="J16" s="919"/>
      <c r="K16" s="919"/>
      <c r="L16" s="919"/>
    </row>
    <row r="17" spans="2:14">
      <c r="B17" s="920" t="str">
        <f>names!A2239</f>
        <v>Olefiny (Płock)</v>
      </c>
      <c r="C17" s="921">
        <v>0.76</v>
      </c>
      <c r="D17" s="921">
        <v>0.75</v>
      </c>
      <c r="E17" s="921">
        <v>0.77</v>
      </c>
      <c r="F17" s="921">
        <v>0.74</v>
      </c>
      <c r="G17" s="921">
        <v>0.76</v>
      </c>
      <c r="H17" s="921">
        <v>0.69</v>
      </c>
      <c r="I17" s="921">
        <v>0.71</v>
      </c>
      <c r="J17" s="921">
        <v>0.59</v>
      </c>
      <c r="K17" s="921">
        <v>0.78</v>
      </c>
      <c r="L17" s="921">
        <v>0.69</v>
      </c>
    </row>
    <row r="18" spans="2:14">
      <c r="B18" s="920" t="str">
        <f>names!A2240</f>
        <v>BOP (Płock)</v>
      </c>
      <c r="C18" s="921">
        <v>0.7</v>
      </c>
      <c r="D18" s="921">
        <v>0.73</v>
      </c>
      <c r="E18" s="921">
        <v>0.63</v>
      </c>
      <c r="F18" s="921">
        <v>0.62</v>
      </c>
      <c r="G18" s="921">
        <v>0.67</v>
      </c>
      <c r="H18" s="921">
        <v>0.65</v>
      </c>
      <c r="I18" s="921">
        <v>0.66</v>
      </c>
      <c r="J18" s="921">
        <v>0.50900000000000001</v>
      </c>
      <c r="K18" s="921">
        <v>0.63</v>
      </c>
      <c r="L18" s="921">
        <v>0.61</v>
      </c>
    </row>
    <row r="19" spans="2:14">
      <c r="B19" s="920" t="str">
        <f>names!A2241</f>
        <v>Nawozy (Włocławek)</v>
      </c>
      <c r="C19" s="921">
        <v>0.67</v>
      </c>
      <c r="D19" s="921">
        <v>0.64</v>
      </c>
      <c r="E19" s="921">
        <v>0.67</v>
      </c>
      <c r="F19" s="921">
        <v>0.62</v>
      </c>
      <c r="G19" s="921">
        <v>0.65</v>
      </c>
      <c r="H19" s="921">
        <v>0.5</v>
      </c>
      <c r="I19" s="921">
        <v>0.52</v>
      </c>
      <c r="J19" s="921">
        <v>0.63600000000000001</v>
      </c>
      <c r="K19" s="921">
        <v>0.56999999999999995</v>
      </c>
      <c r="L19" s="921">
        <v>0.56000000000000005</v>
      </c>
    </row>
    <row r="20" spans="2:14">
      <c r="B20" s="920" t="str">
        <f>names!A2242</f>
        <v>PCW (Włocławek)</v>
      </c>
      <c r="C20" s="921">
        <v>0.62</v>
      </c>
      <c r="D20" s="921">
        <v>0.49</v>
      </c>
      <c r="E20" s="921">
        <v>0.77</v>
      </c>
      <c r="F20" s="921">
        <v>0.38</v>
      </c>
      <c r="G20" s="921">
        <v>0.56999999999999995</v>
      </c>
      <c r="H20" s="921">
        <v>0.33</v>
      </c>
      <c r="I20" s="921">
        <v>0.38</v>
      </c>
      <c r="J20" s="921">
        <v>0.56899999999999995</v>
      </c>
      <c r="K20" s="921">
        <v>0.64</v>
      </c>
      <c r="L20" s="921">
        <v>0.48</v>
      </c>
    </row>
    <row r="21" spans="2:14">
      <c r="B21" s="922" t="str">
        <f>names!A2243</f>
        <v>PTA (Włocławek)</v>
      </c>
      <c r="C21" s="923">
        <v>0.92</v>
      </c>
      <c r="D21" s="923">
        <v>0.66</v>
      </c>
      <c r="E21" s="923">
        <v>0.93</v>
      </c>
      <c r="F21" s="923">
        <v>0.91</v>
      </c>
      <c r="G21" s="923">
        <v>0.86</v>
      </c>
      <c r="H21" s="923">
        <v>0.45</v>
      </c>
      <c r="I21" s="923">
        <v>0.7</v>
      </c>
      <c r="J21" s="923">
        <v>0.752</v>
      </c>
      <c r="K21" s="923">
        <v>0.41</v>
      </c>
      <c r="L21" s="923">
        <v>0.57999999999999996</v>
      </c>
    </row>
    <row r="22" spans="2:14">
      <c r="B22" s="922" t="str">
        <f>names!A2244</f>
        <v>Olefiny (Unipetrol)</v>
      </c>
      <c r="C22" s="923">
        <v>0.87</v>
      </c>
      <c r="D22" s="923">
        <v>0.65</v>
      </c>
      <c r="E22" s="923">
        <v>0.63</v>
      </c>
      <c r="F22" s="923">
        <v>0.8</v>
      </c>
      <c r="G22" s="923">
        <v>0.74</v>
      </c>
      <c r="H22" s="923">
        <v>0.64</v>
      </c>
      <c r="I22" s="923">
        <v>0.24</v>
      </c>
      <c r="J22" s="923">
        <v>0.41599999999999998</v>
      </c>
      <c r="K22" s="923">
        <v>0.86</v>
      </c>
      <c r="L22" s="923">
        <v>0.54</v>
      </c>
    </row>
    <row r="23" spans="2:14">
      <c r="B23" s="920" t="str">
        <f>names!A2245</f>
        <v>PPF Splitter (ORLEN Lietuva)</v>
      </c>
      <c r="C23" s="921">
        <v>0.78</v>
      </c>
      <c r="D23" s="921">
        <v>0.84</v>
      </c>
      <c r="E23" s="921">
        <v>0.83</v>
      </c>
      <c r="F23" s="921">
        <v>0.68</v>
      </c>
      <c r="G23" s="921">
        <v>0.78</v>
      </c>
      <c r="H23" s="921">
        <v>0.85</v>
      </c>
      <c r="I23" s="921">
        <v>0.74</v>
      </c>
      <c r="J23" s="921">
        <v>0.78</v>
      </c>
      <c r="K23" s="921">
        <v>0.74</v>
      </c>
      <c r="L23" s="958">
        <v>0.78</v>
      </c>
    </row>
    <row r="24" spans="2:14">
      <c r="N24" s="932"/>
    </row>
  </sheetData>
  <conditionalFormatting sqref="B17">
    <cfRule type="cellIs" dxfId="114" priority="2" operator="equal">
      <formula>FALSE</formula>
    </cfRule>
  </conditionalFormatting>
  <printOptions horizontalCentered="1"/>
  <pageMargins left="0.70866141732283472" right="0.70866141732283472" top="0.74803149606299213" bottom="0.74803149606299213" header="0.31496062992125984" footer="0.31496062992125984"/>
  <pageSetup paperSize="9" scale="97" orientation="landscape" r:id="rId1"/>
  <ignoredErrors>
    <ignoredError sqref="B16:B2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A7" sqref="A7"/>
    </sheetView>
  </sheetViews>
  <sheetFormatPr defaultColWidth="9.42578125" defaultRowHeight="15"/>
  <cols>
    <col min="1" max="1" width="16.5703125" style="339" customWidth="1"/>
    <col min="2" max="2" width="14.7109375" style="339" customWidth="1"/>
    <col min="3" max="16384" width="9.42578125" style="339"/>
  </cols>
  <sheetData>
    <row r="1" spans="1:3">
      <c r="A1" s="698">
        <v>1</v>
      </c>
      <c r="B1" s="699" t="s">
        <v>779</v>
      </c>
      <c r="C1" s="699" t="s">
        <v>780</v>
      </c>
    </row>
    <row r="2" spans="1:3">
      <c r="B2" s="700" t="s">
        <v>781</v>
      </c>
      <c r="C2" s="700" t="s">
        <v>782</v>
      </c>
    </row>
    <row r="3" spans="1:3">
      <c r="A3" s="701">
        <v>1</v>
      </c>
      <c r="B3" s="699" t="s">
        <v>783</v>
      </c>
    </row>
    <row r="4" spans="1:3">
      <c r="A4" s="701">
        <v>2</v>
      </c>
      <c r="B4" s="699" t="s">
        <v>784</v>
      </c>
    </row>
    <row r="5" spans="1:3">
      <c r="A5" s="701"/>
      <c r="B5" s="699"/>
    </row>
  </sheetData>
  <dataValidations count="1">
    <dataValidation type="list" allowBlank="1" showInputMessage="1" showErrorMessage="1" sqref="A1" xr:uid="{00000000-0002-0000-0100-000000000000}">
      <formula1>$A$3:$A$5</formula1>
    </dataValidation>
  </dataValidations>
  <pageMargins left="0.7" right="0.7" top="0.75" bottom="0.75" header="0.3" footer="0.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B2:AA50"/>
  <sheetViews>
    <sheetView view="pageBreakPreview" zoomScaleNormal="100" zoomScaleSheetLayoutView="100" workbookViewId="0">
      <pane xSplit="2" ySplit="2" topLeftCell="C3" activePane="bottomRight" state="frozen"/>
      <selection activeCell="B7" sqref="B7"/>
      <selection pane="topRight" activeCell="B7" sqref="B7"/>
      <selection pane="bottomLeft" activeCell="B7" sqref="B7"/>
      <selection pane="bottomRight"/>
    </sheetView>
  </sheetViews>
  <sheetFormatPr defaultRowHeight="12.75"/>
  <cols>
    <col min="1" max="1" width="1.28515625" customWidth="1"/>
    <col min="2" max="2" width="44.5703125" style="1" customWidth="1"/>
    <col min="3" max="12" width="8.5703125" style="1" customWidth="1"/>
    <col min="13" max="13" width="8.7109375"/>
  </cols>
  <sheetData>
    <row r="2" spans="2:13" ht="38.25" customHeight="1">
      <c r="B2" s="874" t="str">
        <f>names!A2341</f>
        <v>Sprzedaż
(tys. ton)</v>
      </c>
      <c r="C2" s="894" t="str">
        <f>names!$A169</f>
        <v>I kw. 
2024</v>
      </c>
      <c r="D2" s="894" t="str">
        <f>names!$A170</f>
        <v>II kw. 
2024</v>
      </c>
      <c r="E2" s="894" t="str">
        <f>names!$A171</f>
        <v>III kw. 
2024</v>
      </c>
      <c r="F2" s="894" t="str">
        <f>names!$A172</f>
        <v>IV kw. 
2024</v>
      </c>
      <c r="G2" s="894" t="str">
        <f>names!$A173</f>
        <v>12 m-cy 2024</v>
      </c>
      <c r="H2" s="894" t="str">
        <f>names!$A174</f>
        <v>I kw. 
2025</v>
      </c>
      <c r="I2" s="894" t="str">
        <f>names!$A175</f>
        <v>II kw. 
2025</v>
      </c>
      <c r="J2" s="894" t="str">
        <f>names!$A176</f>
        <v>III kw. 
2025</v>
      </c>
      <c r="K2" s="894" t="str">
        <f>names!$A177</f>
        <v>IV kw. 
2025</v>
      </c>
      <c r="L2" s="894" t="str">
        <f>names!$A178</f>
        <v>12 m-cy 2025</v>
      </c>
      <c r="M2" s="526"/>
    </row>
    <row r="3" spans="2:13">
      <c r="B3" s="964" t="str">
        <f>names!A2342</f>
        <v>Downstream, w tym:</v>
      </c>
      <c r="C3" s="966">
        <v>8548.8447108079999</v>
      </c>
      <c r="D3" s="966">
        <v>9105.5591111816011</v>
      </c>
      <c r="E3" s="966">
        <v>9473.3029447974386</v>
      </c>
      <c r="F3" s="966">
        <v>9068.0825878859978</v>
      </c>
      <c r="G3" s="930">
        <v>36195.789354673041</v>
      </c>
      <c r="H3" s="966">
        <v>8096.2092212921443</v>
      </c>
      <c r="I3" s="966">
        <v>9040.4892575486138</v>
      </c>
      <c r="J3" s="966">
        <v>9372.5886874489988</v>
      </c>
      <c r="K3" s="966">
        <v>9356.3738381539988</v>
      </c>
      <c r="L3" s="930">
        <v>35865.661004443755</v>
      </c>
    </row>
    <row r="4" spans="2:13">
      <c r="B4" s="976" t="str">
        <f>names!A2343</f>
        <v>Rafineria</v>
      </c>
      <c r="C4" s="977">
        <v>7333.2309095179999</v>
      </c>
      <c r="D4" s="977">
        <v>7881.4058936930014</v>
      </c>
      <c r="E4" s="977">
        <v>8297.1449105640004</v>
      </c>
      <c r="F4" s="977">
        <v>7904.5462182349984</v>
      </c>
      <c r="G4" s="978">
        <v>31416.327932010001</v>
      </c>
      <c r="H4" s="977">
        <v>7019.9025407879999</v>
      </c>
      <c r="I4" s="977">
        <v>8053.7668653379988</v>
      </c>
      <c r="J4" s="977">
        <v>8380.6499750419989</v>
      </c>
      <c r="K4" s="977">
        <v>8302.8801557359984</v>
      </c>
      <c r="L4" s="978">
        <v>31757.199536903998</v>
      </c>
    </row>
    <row r="5" spans="2:13">
      <c r="B5" s="970" t="str">
        <f>names!A2344</f>
        <v>Benzyna</v>
      </c>
      <c r="C5" s="971">
        <v>1312.353284028</v>
      </c>
      <c r="D5" s="971">
        <v>1316.6630343060001</v>
      </c>
      <c r="E5" s="971">
        <v>1330.298294852</v>
      </c>
      <c r="F5" s="971">
        <v>1199.8070826990001</v>
      </c>
      <c r="G5" s="972">
        <v>5159.1216958850009</v>
      </c>
      <c r="H5" s="971">
        <v>1329.9023118309999</v>
      </c>
      <c r="I5" s="971">
        <v>1376.6573269749999</v>
      </c>
      <c r="J5" s="971">
        <v>1266.2740536809999</v>
      </c>
      <c r="K5" s="971">
        <v>1347.4192957250002</v>
      </c>
      <c r="L5" s="972">
        <v>5320.2529882119998</v>
      </c>
    </row>
    <row r="6" spans="2:13">
      <c r="B6" s="970" t="str">
        <f>names!A2345</f>
        <v>ON</v>
      </c>
      <c r="C6" s="971">
        <v>3420.2212229070001</v>
      </c>
      <c r="D6" s="971">
        <v>3658.7883343850003</v>
      </c>
      <c r="E6" s="971">
        <v>3833.5531385300001</v>
      </c>
      <c r="F6" s="971">
        <v>3854.0761612729989</v>
      </c>
      <c r="G6" s="972">
        <v>14766.638857094997</v>
      </c>
      <c r="H6" s="971">
        <v>3136.2046958840001</v>
      </c>
      <c r="I6" s="971">
        <v>3636.9247687709999</v>
      </c>
      <c r="J6" s="971">
        <v>4256.4432708040003</v>
      </c>
      <c r="K6" s="971">
        <v>3977.5738677149993</v>
      </c>
      <c r="L6" s="972">
        <v>15007.146603173998</v>
      </c>
    </row>
    <row r="7" spans="2:13">
      <c r="B7" s="970" t="str">
        <f>names!A2346</f>
        <v>LPG</v>
      </c>
      <c r="C7" s="971">
        <v>125.01049839000007</v>
      </c>
      <c r="D7" s="971">
        <v>152.12615653</v>
      </c>
      <c r="E7" s="971">
        <v>154.22640747999998</v>
      </c>
      <c r="F7" s="971">
        <v>146.13959765000004</v>
      </c>
      <c r="G7" s="972">
        <v>577.50266005000003</v>
      </c>
      <c r="H7" s="971">
        <v>131.74631801000001</v>
      </c>
      <c r="I7" s="971">
        <v>170.26745393000002</v>
      </c>
      <c r="J7" s="971">
        <v>186.00483601000002</v>
      </c>
      <c r="K7" s="971">
        <v>172.78160548999995</v>
      </c>
      <c r="L7" s="972">
        <v>660.80021343999999</v>
      </c>
    </row>
    <row r="8" spans="2:13" s="516" customFormat="1">
      <c r="B8" s="970" t="str">
        <f>names!A2347</f>
        <v>Paliwo JET</v>
      </c>
      <c r="C8" s="971">
        <v>345.79717370000003</v>
      </c>
      <c r="D8" s="971">
        <v>452.02206979999994</v>
      </c>
      <c r="E8" s="971">
        <v>549.27503760200011</v>
      </c>
      <c r="F8" s="971">
        <v>427.70723662800003</v>
      </c>
      <c r="G8" s="972">
        <v>1774.8015177299999</v>
      </c>
      <c r="H8" s="971">
        <v>391.69995930000005</v>
      </c>
      <c r="I8" s="971">
        <v>496.84387429999998</v>
      </c>
      <c r="J8" s="971">
        <v>570.67160561200001</v>
      </c>
      <c r="K8" s="971">
        <v>473.17229436399998</v>
      </c>
      <c r="L8" s="972">
        <v>1932.3877335759998</v>
      </c>
    </row>
    <row r="9" spans="2:13" s="516" customFormat="1">
      <c r="B9" s="970" t="str">
        <f>names!A2348</f>
        <v>COO</v>
      </c>
      <c r="C9" s="971">
        <v>878.61988799999995</v>
      </c>
      <c r="D9" s="971">
        <v>635.76519799999994</v>
      </c>
      <c r="E9" s="971">
        <v>644.76325899999983</v>
      </c>
      <c r="F9" s="971">
        <v>691.37620300000003</v>
      </c>
      <c r="G9" s="972">
        <v>2850.5245479999994</v>
      </c>
      <c r="H9" s="971">
        <v>734.11222999999995</v>
      </c>
      <c r="I9" s="971">
        <v>473.076123</v>
      </c>
      <c r="J9" s="971">
        <v>421.08609999999993</v>
      </c>
      <c r="K9" s="971">
        <v>684.75740900000005</v>
      </c>
      <c r="L9" s="972">
        <v>2313.0318620000003</v>
      </c>
    </row>
    <row r="10" spans="2:13" s="516" customFormat="1">
      <c r="B10" s="970" t="str">
        <f>names!A2349</f>
        <v>Pozostałe</v>
      </c>
      <c r="C10" s="971">
        <v>1251.2288424930002</v>
      </c>
      <c r="D10" s="971">
        <v>1666.0411006720005</v>
      </c>
      <c r="E10" s="971">
        <v>1785.0287731000008</v>
      </c>
      <c r="F10" s="971">
        <v>1585.4399369849998</v>
      </c>
      <c r="G10" s="972">
        <v>6287.7386532500059</v>
      </c>
      <c r="H10" s="971">
        <v>1296.237025763</v>
      </c>
      <c r="I10" s="971">
        <v>1899.9973183619995</v>
      </c>
      <c r="J10" s="971">
        <v>1680.170108934999</v>
      </c>
      <c r="K10" s="971">
        <v>1647.1756834419994</v>
      </c>
      <c r="L10" s="972">
        <v>6523.5801365019979</v>
      </c>
    </row>
    <row r="11" spans="2:13" s="516" customFormat="1">
      <c r="B11" s="976" t="str">
        <f>names!A2350</f>
        <v>Petrochemia</v>
      </c>
      <c r="C11" s="977">
        <v>1215.6138012900001</v>
      </c>
      <c r="D11" s="977">
        <v>1224.1532174886001</v>
      </c>
      <c r="E11" s="977">
        <v>1176.158034233438</v>
      </c>
      <c r="F11" s="977">
        <v>1163.5363696510001</v>
      </c>
      <c r="G11" s="978">
        <v>4779.4614226630383</v>
      </c>
      <c r="H11" s="977">
        <v>1076.306680504144</v>
      </c>
      <c r="I11" s="977">
        <v>986.72239221061386</v>
      </c>
      <c r="J11" s="977">
        <v>991.93871240700014</v>
      </c>
      <c r="K11" s="977">
        <v>1053.4936824179999</v>
      </c>
      <c r="L11" s="978">
        <v>4108.461467539757</v>
      </c>
    </row>
    <row r="12" spans="2:13">
      <c r="B12" s="970" t="str">
        <f>names!A2351</f>
        <v>Olefiny</v>
      </c>
      <c r="C12" s="971">
        <v>202.381112</v>
      </c>
      <c r="D12" s="971">
        <v>215.47970099999998</v>
      </c>
      <c r="E12" s="971">
        <v>187.4469</v>
      </c>
      <c r="F12" s="971">
        <v>165.995159</v>
      </c>
      <c r="G12" s="972">
        <v>771.30287200000009</v>
      </c>
      <c r="H12" s="971">
        <v>193.036124</v>
      </c>
      <c r="I12" s="971">
        <v>185.99385799999999</v>
      </c>
      <c r="J12" s="971">
        <v>146.12897799999999</v>
      </c>
      <c r="K12" s="971">
        <v>168.52316500000001</v>
      </c>
      <c r="L12" s="972">
        <v>693.68212499999993</v>
      </c>
    </row>
    <row r="13" spans="2:13" s="516" customFormat="1">
      <c r="B13" s="970" t="str">
        <f>names!A2352</f>
        <v>Poliolefiny</v>
      </c>
      <c r="C13" s="971">
        <v>172.35324199999997</v>
      </c>
      <c r="D13" s="971">
        <v>184.21980200000002</v>
      </c>
      <c r="E13" s="971">
        <v>166.16693000000001</v>
      </c>
      <c r="F13" s="971">
        <v>176.31768399999999</v>
      </c>
      <c r="G13" s="972">
        <v>699.05765800000006</v>
      </c>
      <c r="H13" s="971">
        <v>156.02514450000001</v>
      </c>
      <c r="I13" s="971">
        <v>155.51606860000001</v>
      </c>
      <c r="J13" s="971">
        <v>118.29913300000001</v>
      </c>
      <c r="K13" s="971">
        <v>144.83789100000001</v>
      </c>
      <c r="L13" s="972">
        <v>574.67823710000005</v>
      </c>
    </row>
    <row r="14" spans="2:13" s="516" customFormat="1">
      <c r="B14" s="970" t="str">
        <f>names!A2353</f>
        <v>Nawozy</v>
      </c>
      <c r="C14" s="971">
        <v>281.49779999999998</v>
      </c>
      <c r="D14" s="971">
        <v>318.74921499999994</v>
      </c>
      <c r="E14" s="971">
        <v>246.72644299999999</v>
      </c>
      <c r="F14" s="971">
        <v>271.76871699999998</v>
      </c>
      <c r="G14" s="972">
        <v>1118.7421749999999</v>
      </c>
      <c r="H14" s="971">
        <v>237.21901200000002</v>
      </c>
      <c r="I14" s="971">
        <v>231.33162599999997</v>
      </c>
      <c r="J14" s="971">
        <v>250.01544399999997</v>
      </c>
      <c r="K14" s="971">
        <v>256.55287899999996</v>
      </c>
      <c r="L14" s="972">
        <v>975.1189609999999</v>
      </c>
    </row>
    <row r="15" spans="2:13" s="516" customFormat="1">
      <c r="B15" s="970" t="str">
        <f>names!A2354</f>
        <v>PCW</v>
      </c>
      <c r="C15" s="971">
        <v>49.269031999999996</v>
      </c>
      <c r="D15" s="971">
        <v>65.667439999999999</v>
      </c>
      <c r="E15" s="971">
        <v>74.306317000000007</v>
      </c>
      <c r="F15" s="971">
        <v>58.327030999999991</v>
      </c>
      <c r="G15" s="972">
        <v>247.56982000000002</v>
      </c>
      <c r="H15" s="971">
        <v>48.300380000000004</v>
      </c>
      <c r="I15" s="971">
        <v>36.905018999999996</v>
      </c>
      <c r="J15" s="971">
        <v>56.766654999999993</v>
      </c>
      <c r="K15" s="971">
        <v>47.145058999999996</v>
      </c>
      <c r="L15" s="972">
        <v>189.11711299999999</v>
      </c>
    </row>
    <row r="16" spans="2:13" s="526" customFormat="1">
      <c r="B16" s="970" t="str">
        <f>names!A2355</f>
        <v>PTA</v>
      </c>
      <c r="C16" s="971">
        <v>133.82637500000001</v>
      </c>
      <c r="D16" s="971">
        <v>129.75163699999999</v>
      </c>
      <c r="E16" s="971">
        <v>159.25798499999999</v>
      </c>
      <c r="F16" s="971">
        <v>151.812105</v>
      </c>
      <c r="G16" s="972">
        <v>574.64810199999999</v>
      </c>
      <c r="H16" s="971">
        <v>95.176332000000002</v>
      </c>
      <c r="I16" s="971">
        <v>93.707680000000011</v>
      </c>
      <c r="J16" s="971">
        <v>117.357945</v>
      </c>
      <c r="K16" s="971">
        <v>101.72230999999999</v>
      </c>
      <c r="L16" s="972">
        <v>407.96426700000001</v>
      </c>
    </row>
    <row r="17" spans="2:27" s="516" customFormat="1">
      <c r="B17" s="970" t="str">
        <f>names!A2356</f>
        <v>Pozostałe</v>
      </c>
      <c r="C17" s="971">
        <v>376.28624029000014</v>
      </c>
      <c r="D17" s="971">
        <v>310.28542248860037</v>
      </c>
      <c r="E17" s="971">
        <v>342.25345923343798</v>
      </c>
      <c r="F17" s="971">
        <v>339.31567365100011</v>
      </c>
      <c r="G17" s="972">
        <v>1368.1407956630378</v>
      </c>
      <c r="H17" s="971">
        <v>346.54968800414395</v>
      </c>
      <c r="I17" s="971">
        <v>283.26814061061395</v>
      </c>
      <c r="J17" s="971">
        <v>303.37055740700021</v>
      </c>
      <c r="K17" s="971">
        <v>334.71237841799996</v>
      </c>
      <c r="L17" s="972">
        <v>1267.9007644397575</v>
      </c>
    </row>
    <row r="18" spans="2:27" s="339" customFormat="1" ht="15">
      <c r="B18" s="965"/>
      <c r="C18" s="967"/>
      <c r="D18" s="967"/>
      <c r="E18" s="967"/>
      <c r="F18" s="967"/>
      <c r="G18" s="931"/>
      <c r="H18" s="967"/>
      <c r="I18" s="967"/>
      <c r="J18" s="967"/>
      <c r="K18" s="967"/>
      <c r="L18" s="931"/>
    </row>
    <row r="19" spans="2:27" s="516" customFormat="1">
      <c r="B19" s="964" t="str">
        <f>names!A2358</f>
        <v>Consumers &amp; Products, w tym:</v>
      </c>
      <c r="C19" s="966">
        <v>2602.2079624470612</v>
      </c>
      <c r="D19" s="966">
        <v>2891.0807789242999</v>
      </c>
      <c r="E19" s="966">
        <v>3031.8850252830498</v>
      </c>
      <c r="F19" s="966">
        <v>2783.0951427093501</v>
      </c>
      <c r="G19" s="930">
        <v>11308.268909363762</v>
      </c>
      <c r="H19" s="966">
        <v>2554.5410510095503</v>
      </c>
      <c r="I19" s="966">
        <v>2867.3877719051502</v>
      </c>
      <c r="J19" s="966">
        <v>2981.5796366707</v>
      </c>
      <c r="K19" s="966">
        <v>2787.6986788853001</v>
      </c>
      <c r="L19" s="930">
        <v>11191.2071384707</v>
      </c>
    </row>
    <row r="20" spans="2:27" s="516" customFormat="1">
      <c r="B20" s="968" t="str">
        <f>names!A2359</f>
        <v>Benzyna</v>
      </c>
      <c r="C20" s="969">
        <v>919.21843400550006</v>
      </c>
      <c r="D20" s="969">
        <v>1073.327097157</v>
      </c>
      <c r="E20" s="969">
        <v>1134.1132361530499</v>
      </c>
      <c r="F20" s="969">
        <v>1020.5733409833499</v>
      </c>
      <c r="G20" s="973">
        <v>4147.2321082989001</v>
      </c>
      <c r="H20" s="969">
        <v>941.62356203019999</v>
      </c>
      <c r="I20" s="969">
        <v>1094.9065462297499</v>
      </c>
      <c r="J20" s="969">
        <v>1150.1818600288502</v>
      </c>
      <c r="K20" s="969">
        <v>1062.2411884658</v>
      </c>
      <c r="L20" s="973">
        <v>4248.9531567545991</v>
      </c>
    </row>
    <row r="21" spans="2:27" s="516" customFormat="1">
      <c r="B21" s="970" t="str">
        <f>names!A2360</f>
        <v>ON</v>
      </c>
      <c r="C21" s="971">
        <v>1548.58533819375</v>
      </c>
      <c r="D21" s="971">
        <v>1671.6146711916999</v>
      </c>
      <c r="E21" s="971">
        <v>1745.9257260688501</v>
      </c>
      <c r="F21" s="971">
        <v>1618.9452155180502</v>
      </c>
      <c r="G21" s="972">
        <v>6585.0709509723501</v>
      </c>
      <c r="H21" s="971">
        <v>1483.7498333255501</v>
      </c>
      <c r="I21" s="971">
        <v>1625.1860561583003</v>
      </c>
      <c r="J21" s="971">
        <v>1679.0062643752499</v>
      </c>
      <c r="K21" s="971">
        <v>1582.3411023169499</v>
      </c>
      <c r="L21" s="972">
        <v>6370.2832561760497</v>
      </c>
    </row>
    <row r="22" spans="2:27" s="516" customFormat="1">
      <c r="B22" s="970" t="str">
        <f>names!A2361</f>
        <v>LPG</v>
      </c>
      <c r="C22" s="971">
        <v>100.86083108719994</v>
      </c>
      <c r="D22" s="971">
        <v>114.06115755659999</v>
      </c>
      <c r="E22" s="971">
        <v>121.77064813294999</v>
      </c>
      <c r="F22" s="971">
        <v>104.75598665495002</v>
      </c>
      <c r="G22" s="972">
        <v>441.44862343169996</v>
      </c>
      <c r="H22" s="971">
        <v>94.423765642800007</v>
      </c>
      <c r="I22" s="971">
        <v>107.33407416590001</v>
      </c>
      <c r="J22" s="971">
        <v>115.68222330519998</v>
      </c>
      <c r="K22" s="971">
        <v>103.10678846715001</v>
      </c>
      <c r="L22" s="972">
        <v>420.54685158104996</v>
      </c>
    </row>
    <row r="23" spans="2:27" s="526" customFormat="1">
      <c r="B23" s="970" t="str">
        <f>names!A2362</f>
        <v>Pozostałe</v>
      </c>
      <c r="C23" s="971">
        <v>33.543359160611089</v>
      </c>
      <c r="D23" s="971">
        <v>32.077853019000031</v>
      </c>
      <c r="E23" s="971">
        <v>30.075414928199734</v>
      </c>
      <c r="F23" s="971">
        <v>38.820599552999965</v>
      </c>
      <c r="G23" s="972">
        <v>134.51722666081332</v>
      </c>
      <c r="H23" s="971">
        <v>34.743890011000076</v>
      </c>
      <c r="I23" s="971">
        <v>39.961095351200129</v>
      </c>
      <c r="J23" s="971">
        <v>36.709288961400034</v>
      </c>
      <c r="K23" s="971">
        <v>40.009599635400264</v>
      </c>
      <c r="L23" s="972">
        <v>151.42387395900187</v>
      </c>
    </row>
    <row r="24" spans="2:27" ht="6" customHeight="1">
      <c r="B24" s="952"/>
      <c r="C24" s="974"/>
      <c r="D24" s="974"/>
      <c r="E24" s="974"/>
      <c r="F24" s="974"/>
      <c r="G24" s="463"/>
      <c r="H24" s="974"/>
      <c r="I24" s="974"/>
      <c r="J24" s="974"/>
      <c r="K24" s="974"/>
      <c r="L24" s="463"/>
      <c r="P24" s="516"/>
      <c r="Q24" s="516"/>
      <c r="R24" s="516"/>
      <c r="S24" s="516"/>
      <c r="T24" s="516"/>
      <c r="U24" s="516"/>
      <c r="V24" s="516"/>
      <c r="W24" s="516"/>
      <c r="X24" s="516"/>
      <c r="Y24" s="516"/>
      <c r="Z24" s="516"/>
      <c r="AA24" s="516"/>
    </row>
    <row r="25" spans="2:27">
      <c r="C25" s="6"/>
      <c r="D25" s="6"/>
      <c r="E25" s="6"/>
      <c r="F25" s="6"/>
      <c r="G25" s="6"/>
      <c r="H25" s="6"/>
      <c r="I25" s="6"/>
      <c r="J25" s="6"/>
      <c r="K25" s="6"/>
      <c r="L25" s="6"/>
      <c r="P25" s="516"/>
      <c r="Q25" s="516"/>
      <c r="R25" s="516"/>
      <c r="S25" s="516"/>
      <c r="T25" s="516"/>
      <c r="U25" s="516"/>
      <c r="V25" s="516"/>
      <c r="W25" s="516"/>
      <c r="X25" s="516"/>
      <c r="Y25" s="516"/>
      <c r="Z25" s="516"/>
      <c r="AA25" s="516"/>
    </row>
    <row r="26" spans="2:27">
      <c r="B26" s="577"/>
      <c r="C26" s="577"/>
      <c r="D26" s="577"/>
      <c r="E26" s="577"/>
      <c r="F26" s="577"/>
      <c r="G26" s="577"/>
      <c r="H26" s="577"/>
      <c r="I26" s="577"/>
      <c r="J26" s="577"/>
      <c r="K26" s="577"/>
      <c r="L26" s="577"/>
      <c r="P26" s="516"/>
      <c r="Q26" s="516"/>
      <c r="R26" s="516"/>
      <c r="S26" s="516"/>
      <c r="T26" s="516"/>
      <c r="U26" s="516"/>
      <c r="V26" s="516"/>
      <c r="W26" s="516"/>
      <c r="X26" s="516"/>
      <c r="Y26" s="516"/>
      <c r="Z26" s="516"/>
      <c r="AA26" s="516"/>
    </row>
    <row r="27" spans="2:27">
      <c r="B27" s="169"/>
      <c r="C27" s="169"/>
      <c r="D27" s="169"/>
      <c r="E27" s="169"/>
      <c r="F27" s="169"/>
      <c r="G27" s="169"/>
      <c r="H27" s="169"/>
      <c r="I27" s="169"/>
      <c r="J27" s="169"/>
      <c r="K27" s="169"/>
      <c r="L27" s="169"/>
      <c r="P27" s="516"/>
      <c r="Q27" s="516"/>
      <c r="R27" s="516"/>
      <c r="S27" s="516"/>
      <c r="T27" s="516"/>
      <c r="U27" s="516"/>
      <c r="V27" s="516"/>
      <c r="W27" s="516"/>
      <c r="X27" s="516"/>
      <c r="Y27" s="516"/>
      <c r="Z27" s="516"/>
      <c r="AA27" s="516"/>
    </row>
    <row r="28" spans="2:27">
      <c r="C28" s="6"/>
      <c r="H28" s="6"/>
      <c r="P28" s="516"/>
      <c r="Q28" s="516"/>
      <c r="R28" s="516"/>
      <c r="S28" s="516"/>
      <c r="T28" s="516"/>
      <c r="U28" s="516"/>
      <c r="V28" s="516"/>
      <c r="W28" s="516"/>
      <c r="X28" s="516"/>
      <c r="Y28" s="516"/>
      <c r="Z28" s="516"/>
      <c r="AA28" s="516"/>
    </row>
    <row r="29" spans="2:27">
      <c r="C29" s="6"/>
      <c r="D29" s="6"/>
      <c r="E29" s="6"/>
      <c r="F29" s="6"/>
      <c r="G29" s="6"/>
      <c r="H29" s="6"/>
      <c r="I29" s="6"/>
      <c r="J29" s="6"/>
      <c r="K29" s="6"/>
      <c r="L29" s="6"/>
      <c r="P29" s="516"/>
      <c r="Q29" s="516"/>
      <c r="R29" s="516"/>
      <c r="S29" s="516"/>
      <c r="T29" s="516"/>
      <c r="U29" s="516"/>
      <c r="V29" s="516"/>
      <c r="W29" s="516"/>
      <c r="X29" s="516"/>
      <c r="Y29" s="516"/>
      <c r="Z29" s="516"/>
      <c r="AA29" s="516"/>
    </row>
    <row r="30" spans="2:27">
      <c r="C30" s="6"/>
      <c r="D30" s="6"/>
      <c r="E30" s="6"/>
      <c r="F30" s="6"/>
      <c r="G30" s="6"/>
      <c r="H30" s="6"/>
      <c r="I30" s="6"/>
      <c r="J30" s="6"/>
      <c r="K30" s="6"/>
      <c r="L30" s="6"/>
      <c r="P30" s="516"/>
      <c r="Q30" s="516"/>
      <c r="R30" s="516"/>
      <c r="S30" s="516"/>
      <c r="T30" s="516"/>
      <c r="U30" s="516"/>
      <c r="V30" s="516"/>
      <c r="W30" s="516"/>
      <c r="X30" s="516"/>
      <c r="Y30" s="516"/>
      <c r="Z30" s="516"/>
      <c r="AA30" s="516"/>
    </row>
    <row r="31" spans="2:27">
      <c r="C31" s="6"/>
      <c r="D31" s="6"/>
      <c r="E31" s="6"/>
      <c r="F31" s="6"/>
      <c r="G31" s="6"/>
      <c r="H31" s="6"/>
      <c r="I31" s="6"/>
      <c r="J31" s="6"/>
      <c r="K31" s="6"/>
      <c r="L31" s="6"/>
      <c r="P31" s="516"/>
      <c r="Q31" s="516"/>
      <c r="R31" s="516"/>
      <c r="S31" s="516"/>
      <c r="T31" s="516"/>
      <c r="U31" s="516"/>
      <c r="V31" s="516"/>
      <c r="W31" s="516"/>
      <c r="X31" s="516"/>
      <c r="Y31" s="516"/>
      <c r="Z31" s="516"/>
      <c r="AA31" s="516"/>
    </row>
    <row r="32" spans="2:27">
      <c r="C32" s="6"/>
      <c r="D32" s="6"/>
      <c r="E32" s="6"/>
      <c r="F32" s="6"/>
      <c r="G32" s="6"/>
      <c r="H32" s="6"/>
      <c r="I32" s="6"/>
      <c r="J32" s="6"/>
      <c r="K32" s="6"/>
      <c r="L32" s="6"/>
      <c r="P32" s="516"/>
      <c r="Q32" s="516"/>
      <c r="R32" s="516"/>
      <c r="S32" s="516"/>
      <c r="T32" s="516"/>
      <c r="U32" s="516"/>
      <c r="V32" s="516"/>
      <c r="W32" s="516"/>
      <c r="X32" s="516"/>
      <c r="Y32" s="516"/>
      <c r="Z32" s="516"/>
      <c r="AA32" s="516"/>
    </row>
    <row r="33" spans="3:27">
      <c r="C33" s="6"/>
      <c r="H33" s="6"/>
      <c r="P33" s="516"/>
      <c r="Q33" s="516"/>
      <c r="R33" s="516"/>
      <c r="S33" s="516"/>
      <c r="T33" s="516"/>
      <c r="U33" s="516"/>
      <c r="V33" s="516"/>
      <c r="W33" s="516"/>
      <c r="X33" s="516"/>
      <c r="Y33" s="516"/>
      <c r="Z33" s="516"/>
      <c r="AA33" s="516"/>
    </row>
    <row r="34" spans="3:27">
      <c r="C34" s="6"/>
      <c r="H34" s="6"/>
      <c r="P34" s="516"/>
      <c r="Q34" s="516"/>
      <c r="R34" s="516"/>
      <c r="S34" s="516"/>
      <c r="T34" s="516"/>
      <c r="U34" s="516"/>
      <c r="V34" s="516"/>
      <c r="W34" s="516"/>
      <c r="X34" s="516"/>
      <c r="Y34" s="516"/>
      <c r="Z34" s="516"/>
      <c r="AA34" s="516"/>
    </row>
    <row r="35" spans="3:27">
      <c r="C35" s="6"/>
      <c r="H35" s="6"/>
      <c r="P35" s="516"/>
      <c r="Q35" s="516"/>
      <c r="R35" s="516"/>
      <c r="S35" s="516"/>
      <c r="T35" s="516"/>
      <c r="U35" s="516"/>
      <c r="V35" s="516"/>
      <c r="W35" s="516"/>
      <c r="X35" s="516"/>
      <c r="Y35" s="516"/>
      <c r="Z35" s="516"/>
      <c r="AA35" s="516"/>
    </row>
    <row r="36" spans="3:27">
      <c r="P36" s="516"/>
      <c r="Q36" s="516"/>
      <c r="R36" s="516"/>
      <c r="S36" s="516"/>
      <c r="T36" s="516"/>
      <c r="U36" s="516"/>
      <c r="V36" s="516"/>
      <c r="W36" s="516"/>
      <c r="X36" s="516"/>
      <c r="Y36" s="516"/>
      <c r="Z36" s="516"/>
      <c r="AA36" s="516"/>
    </row>
    <row r="37" spans="3:27">
      <c r="C37" s="467"/>
      <c r="H37" s="467"/>
      <c r="P37" s="516"/>
      <c r="Q37" s="516"/>
      <c r="R37" s="516"/>
      <c r="S37" s="516"/>
      <c r="T37" s="516"/>
      <c r="U37" s="516"/>
      <c r="V37" s="516"/>
      <c r="W37" s="516"/>
      <c r="X37" s="516"/>
      <c r="Y37" s="516"/>
      <c r="Z37" s="516"/>
      <c r="AA37" s="516"/>
    </row>
    <row r="38" spans="3:27">
      <c r="C38" s="467"/>
      <c r="H38" s="467"/>
      <c r="P38" s="516"/>
      <c r="Q38" s="516"/>
      <c r="R38" s="516"/>
      <c r="S38" s="516"/>
      <c r="T38" s="516"/>
      <c r="U38" s="516"/>
      <c r="V38" s="516"/>
      <c r="W38" s="516"/>
      <c r="X38" s="516"/>
      <c r="Y38" s="516"/>
      <c r="Z38" s="516"/>
      <c r="AA38" s="516"/>
    </row>
    <row r="39" spans="3:27">
      <c r="C39" s="467"/>
      <c r="H39" s="467"/>
      <c r="P39" s="516"/>
      <c r="Q39" s="516"/>
      <c r="R39" s="516"/>
      <c r="S39" s="516"/>
      <c r="T39" s="516"/>
      <c r="U39" s="516"/>
      <c r="V39" s="516"/>
      <c r="W39" s="516"/>
      <c r="X39" s="516"/>
      <c r="Y39" s="516"/>
      <c r="Z39" s="516"/>
      <c r="AA39" s="516"/>
    </row>
    <row r="40" spans="3:27">
      <c r="C40" s="467"/>
      <c r="H40" s="467"/>
      <c r="P40" s="516"/>
      <c r="Q40" s="516"/>
      <c r="R40" s="516"/>
      <c r="S40" s="516"/>
      <c r="T40" s="516"/>
      <c r="U40" s="516"/>
      <c r="V40" s="516"/>
      <c r="W40" s="516"/>
      <c r="X40" s="516"/>
      <c r="Y40" s="516"/>
      <c r="Z40" s="516"/>
      <c r="AA40" s="516"/>
    </row>
    <row r="41" spans="3:27">
      <c r="C41" s="467"/>
      <c r="H41" s="467"/>
      <c r="P41" s="516"/>
      <c r="Q41" s="516"/>
      <c r="R41" s="516"/>
      <c r="S41" s="516"/>
      <c r="T41" s="516"/>
      <c r="U41" s="516"/>
      <c r="V41" s="516"/>
      <c r="W41" s="516"/>
      <c r="X41" s="516"/>
      <c r="Y41" s="516"/>
      <c r="Z41" s="516"/>
      <c r="AA41" s="516"/>
    </row>
    <row r="42" spans="3:27">
      <c r="C42" s="467"/>
      <c r="H42" s="467"/>
      <c r="P42" s="516"/>
      <c r="Q42" s="516"/>
      <c r="R42" s="516"/>
      <c r="S42" s="516"/>
      <c r="T42" s="516"/>
      <c r="U42" s="516"/>
      <c r="V42" s="516"/>
      <c r="W42" s="516"/>
      <c r="X42" s="516"/>
      <c r="Y42" s="516"/>
      <c r="Z42" s="516"/>
      <c r="AA42" s="516"/>
    </row>
    <row r="43" spans="3:27">
      <c r="P43" s="516"/>
      <c r="Q43" s="516"/>
      <c r="R43" s="516"/>
      <c r="S43" s="516"/>
      <c r="T43" s="516"/>
      <c r="U43" s="516"/>
      <c r="V43" s="516"/>
      <c r="W43" s="516"/>
      <c r="X43" s="516"/>
      <c r="Y43" s="516"/>
      <c r="Z43" s="516"/>
      <c r="AA43" s="516"/>
    </row>
    <row r="44" spans="3:27">
      <c r="C44" s="467"/>
      <c r="H44" s="467"/>
    </row>
    <row r="45" spans="3:27">
      <c r="C45" s="467"/>
      <c r="H45" s="467"/>
    </row>
    <row r="46" spans="3:27">
      <c r="C46" s="467"/>
      <c r="H46" s="467"/>
    </row>
    <row r="48" spans="3:27">
      <c r="C48" s="467"/>
      <c r="H48" s="467"/>
    </row>
    <row r="50" spans="3:8">
      <c r="C50" s="467"/>
      <c r="H50" s="467"/>
    </row>
  </sheetData>
  <conditionalFormatting sqref="B26:L26">
    <cfRule type="cellIs" dxfId="113"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AQ92"/>
  <sheetViews>
    <sheetView showGridLines="0" view="pageBreakPreview" zoomScaleNormal="100" zoomScaleSheetLayoutView="100" workbookViewId="0">
      <pane xSplit="2" ySplit="2" topLeftCell="G3" activePane="bottomRight" state="frozen"/>
      <selection activeCell="B7" sqref="B7"/>
      <selection pane="topRight" activeCell="B7" sqref="B7"/>
      <selection pane="bottomLeft" activeCell="B7" sqref="B7"/>
      <selection pane="bottomRight"/>
    </sheetView>
  </sheetViews>
  <sheetFormatPr defaultColWidth="9.42578125" defaultRowHeight="12.75" outlineLevelRow="1" outlineLevelCol="1"/>
  <cols>
    <col min="1" max="1" width="2.7109375" customWidth="1"/>
    <col min="2" max="2" width="71" customWidth="1"/>
    <col min="3" max="6" width="8.42578125" hidden="1" customWidth="1" outlineLevel="1"/>
    <col min="7" max="7" width="8.42578125" customWidth="1" collapsed="1"/>
    <col min="8" max="10" width="8.42578125" customWidth="1"/>
    <col min="11" max="11" width="8.42578125" customWidth="1" outlineLevel="1"/>
    <col min="12" max="15" width="8.42578125" customWidth="1"/>
    <col min="16" max="17" width="8.42578125" customWidth="1" outlineLevel="1"/>
  </cols>
  <sheetData>
    <row r="1" spans="2:43" ht="31.5" customHeight="1">
      <c r="B1" s="846" t="str">
        <f>names!$A2364</f>
        <v>Wybrane dane operacyjne segmentu Upstream&amp;Supply i Energy</v>
      </c>
      <c r="C1" s="846"/>
      <c r="D1" s="846"/>
      <c r="E1" s="846"/>
      <c r="F1" s="846"/>
      <c r="G1" s="846"/>
      <c r="H1" s="846"/>
      <c r="I1" s="846"/>
      <c r="J1" s="846"/>
      <c r="K1" s="846"/>
      <c r="L1" s="846"/>
    </row>
    <row r="2" spans="2:43" ht="33.75" customHeight="1">
      <c r="B2" s="15" t="str">
        <f>names!$A2365</f>
        <v>Wyszczególnienie</v>
      </c>
      <c r="C2" s="15" t="str">
        <f>names!$A164</f>
        <v>I kw. 
2023</v>
      </c>
      <c r="D2" s="15" t="str">
        <f>names!$A165</f>
        <v>II kw. 
2023</v>
      </c>
      <c r="E2" s="15" t="str">
        <f>names!$A166</f>
        <v>III kw. 
2023</v>
      </c>
      <c r="F2" s="15" t="str">
        <f>names!$A167</f>
        <v>IV kw. 
2023</v>
      </c>
      <c r="G2" s="15" t="str">
        <f>names!$A168</f>
        <v>12 m-cy 2023</v>
      </c>
      <c r="H2" s="15" t="str">
        <f>names!$A169</f>
        <v>I kw. 
2024</v>
      </c>
      <c r="I2" s="15" t="str">
        <f>names!$A170</f>
        <v>II kw. 
2024</v>
      </c>
      <c r="J2" s="15" t="str">
        <f>names!$A171</f>
        <v>III kw. 
2024</v>
      </c>
      <c r="K2" s="15" t="str">
        <f>names!$A172</f>
        <v>IV kw. 
2024</v>
      </c>
      <c r="L2" s="15" t="str">
        <f>names!$A173</f>
        <v>12 m-cy 2024</v>
      </c>
      <c r="M2" s="15" t="str">
        <f>names!$A174</f>
        <v>I kw. 
2025</v>
      </c>
      <c r="N2" s="15" t="str">
        <f>names!$A175</f>
        <v>II kw. 
2025</v>
      </c>
      <c r="O2" s="15" t="str">
        <f>names!$A176</f>
        <v>III kw. 
2025</v>
      </c>
      <c r="P2" s="15" t="str">
        <f>names!$A177</f>
        <v>IV kw. 
2025</v>
      </c>
      <c r="Q2" s="15" t="str">
        <f>names!$A178</f>
        <v>12 m-cy 2025</v>
      </c>
    </row>
    <row r="3" spans="2:43" s="82" customFormat="1" ht="13.5" customHeight="1" thickBot="1">
      <c r="B3" s="614"/>
      <c r="C3" s="618"/>
      <c r="D3" s="618"/>
      <c r="E3" s="618"/>
      <c r="F3" s="618"/>
      <c r="G3" s="618"/>
      <c r="H3" s="618"/>
      <c r="I3" s="618"/>
      <c r="J3" s="618"/>
      <c r="K3" s="618"/>
      <c r="L3" s="618"/>
      <c r="M3" s="613"/>
      <c r="N3" s="613"/>
      <c r="O3" s="613"/>
      <c r="P3" s="613"/>
      <c r="Q3" s="613"/>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row>
    <row r="4" spans="2:43" ht="24" customHeight="1" thickBot="1">
      <c r="B4" s="626" t="str">
        <f>names!$A2367</f>
        <v>Dane operacyjne Upstream&amp;Supply</v>
      </c>
      <c r="C4" s="626"/>
      <c r="D4" s="626"/>
      <c r="E4" s="626"/>
      <c r="F4" s="626"/>
      <c r="G4" s="626"/>
      <c r="H4" s="626"/>
      <c r="I4" s="626"/>
      <c r="J4" s="626"/>
      <c r="K4" s="626"/>
      <c r="L4" s="626"/>
      <c r="M4" s="627"/>
      <c r="N4" s="627"/>
      <c r="O4" s="627"/>
      <c r="P4" s="627"/>
      <c r="Q4" s="627"/>
      <c r="R4" s="526"/>
    </row>
    <row r="5" spans="2:43" ht="13.15" customHeight="1">
      <c r="B5" s="624"/>
      <c r="C5" s="624"/>
      <c r="D5" s="624"/>
      <c r="E5" s="624"/>
      <c r="F5" s="624"/>
      <c r="G5" s="624"/>
      <c r="H5" s="624"/>
      <c r="I5" s="624"/>
      <c r="J5" s="624"/>
      <c r="K5" s="624"/>
      <c r="L5" s="624"/>
      <c r="M5" s="625"/>
      <c r="N5" s="625"/>
      <c r="O5" s="625"/>
      <c r="P5" s="625"/>
      <c r="Q5" s="625"/>
    </row>
    <row r="6" spans="2:43" s="5" customFormat="1" ht="11.25">
      <c r="B6" s="621" t="str">
        <f>names!$A2369</f>
        <v>Zasoby 2P na ostatni dzień okresu (mln boe)</v>
      </c>
      <c r="C6" s="622"/>
      <c r="D6" s="622"/>
      <c r="E6" s="622"/>
      <c r="F6" s="622"/>
      <c r="G6" s="622"/>
      <c r="H6" s="622"/>
      <c r="I6" s="622"/>
      <c r="J6" s="622"/>
      <c r="K6" s="622"/>
      <c r="L6" s="622"/>
      <c r="M6" s="677"/>
      <c r="N6" s="677"/>
      <c r="O6" s="622"/>
      <c r="P6" s="622"/>
      <c r="Q6" s="622"/>
    </row>
    <row r="7" spans="2:43" s="82" customFormat="1" ht="13.5" customHeight="1" outlineLevel="1">
      <c r="B7" s="612" t="str">
        <f>names!$A2370</f>
        <v>Polska</v>
      </c>
      <c r="C7" s="642">
        <v>733.6</v>
      </c>
      <c r="D7" s="642">
        <v>733.6</v>
      </c>
      <c r="E7" s="642">
        <v>733.6</v>
      </c>
      <c r="F7" s="642">
        <v>731.2</v>
      </c>
      <c r="G7" s="856">
        <v>731.2</v>
      </c>
      <c r="H7" s="642">
        <v>731.2</v>
      </c>
      <c r="I7" s="642">
        <v>716.99818241000901</v>
      </c>
      <c r="J7" s="642">
        <v>710.33400000000006</v>
      </c>
      <c r="K7" s="642">
        <v>709.98699999999985</v>
      </c>
      <c r="L7" s="856">
        <v>709.98699999999985</v>
      </c>
      <c r="M7" s="642">
        <v>694.67400000000009</v>
      </c>
      <c r="N7" s="642">
        <v>687.93799999999999</v>
      </c>
      <c r="O7" s="642">
        <v>680.82499999999993</v>
      </c>
      <c r="P7" s="642">
        <v>673.67524819554535</v>
      </c>
      <c r="Q7" s="661">
        <f>P7</f>
        <v>673.67524819554535</v>
      </c>
      <c r="R7" s="579"/>
      <c r="S7" s="579"/>
      <c r="T7" s="579"/>
      <c r="U7" s="579"/>
      <c r="V7" s="579"/>
      <c r="W7" s="579"/>
      <c r="X7" s="579"/>
      <c r="Y7" s="579"/>
      <c r="Z7" s="579"/>
      <c r="AA7" s="579"/>
      <c r="AB7" s="579"/>
      <c r="AC7" s="579"/>
      <c r="AD7" s="579"/>
      <c r="AE7" s="579"/>
      <c r="AF7" s="579"/>
      <c r="AG7" s="579"/>
      <c r="AH7" s="579"/>
      <c r="AI7" s="579"/>
      <c r="AJ7" s="579"/>
      <c r="AK7" s="579"/>
      <c r="AL7" s="579"/>
      <c r="AM7" s="579"/>
      <c r="AN7" s="579"/>
      <c r="AO7" s="579"/>
      <c r="AP7" s="579"/>
      <c r="AQ7" s="579"/>
    </row>
    <row r="8" spans="2:43" s="82" customFormat="1" ht="13.5" customHeight="1" outlineLevel="1">
      <c r="B8" s="612" t="str">
        <f>names!$A2371</f>
        <v>Norwegia</v>
      </c>
      <c r="C8" s="642">
        <v>346.6</v>
      </c>
      <c r="D8" s="642">
        <v>346.6</v>
      </c>
      <c r="E8" s="642">
        <v>346.6</v>
      </c>
      <c r="F8" s="642">
        <v>347.3</v>
      </c>
      <c r="G8" s="856">
        <v>347.3</v>
      </c>
      <c r="H8" s="642">
        <v>347.3</v>
      </c>
      <c r="I8" s="642">
        <v>368.7</v>
      </c>
      <c r="J8" s="642">
        <v>396.63501061160247</v>
      </c>
      <c r="K8" s="642">
        <v>407.78775785908203</v>
      </c>
      <c r="L8" s="856">
        <v>407.78775785908203</v>
      </c>
      <c r="M8" s="642">
        <v>397.9</v>
      </c>
      <c r="N8" s="642">
        <v>389.5</v>
      </c>
      <c r="O8" s="642">
        <v>380.2006768549582</v>
      </c>
      <c r="P8" s="642">
        <v>386.79999999999995</v>
      </c>
      <c r="Q8" s="661">
        <f t="shared" ref="Q8:Q11" si="0">P8</f>
        <v>386.79999999999995</v>
      </c>
      <c r="R8" s="579"/>
      <c r="S8" s="579"/>
      <c r="T8" s="579"/>
      <c r="U8" s="579"/>
      <c r="V8" s="579"/>
      <c r="W8" s="579"/>
      <c r="X8" s="579"/>
      <c r="Y8" s="579"/>
      <c r="Z8" s="579"/>
      <c r="AA8" s="579"/>
      <c r="AB8" s="579"/>
      <c r="AC8" s="579"/>
      <c r="AD8" s="579"/>
      <c r="AE8" s="579"/>
      <c r="AF8" s="579"/>
      <c r="AG8" s="579"/>
      <c r="AH8" s="579"/>
      <c r="AI8" s="579"/>
      <c r="AJ8" s="579"/>
      <c r="AK8" s="579"/>
      <c r="AL8" s="579"/>
      <c r="AM8" s="579"/>
      <c r="AN8" s="579"/>
      <c r="AO8" s="579"/>
      <c r="AP8" s="579"/>
      <c r="AQ8" s="579"/>
    </row>
    <row r="9" spans="2:43" s="82" customFormat="1" ht="13.5" customHeight="1" outlineLevel="1">
      <c r="B9" s="612" t="str">
        <f>names!$A2372</f>
        <v>Kanada</v>
      </c>
      <c r="C9" s="642">
        <v>158</v>
      </c>
      <c r="D9" s="642">
        <v>158</v>
      </c>
      <c r="E9" s="642">
        <v>158</v>
      </c>
      <c r="F9" s="642">
        <v>148.1</v>
      </c>
      <c r="G9" s="856">
        <v>148.1</v>
      </c>
      <c r="H9" s="642">
        <v>148.1</v>
      </c>
      <c r="I9" s="642">
        <v>145.41399999999999</v>
      </c>
      <c r="J9" s="642">
        <v>144.048</v>
      </c>
      <c r="K9" s="642">
        <v>147.672</v>
      </c>
      <c r="L9" s="856">
        <v>147.672</v>
      </c>
      <c r="M9" s="642">
        <v>146.42400000000001</v>
      </c>
      <c r="N9" s="642">
        <v>145.226</v>
      </c>
      <c r="O9" s="642">
        <v>143.83199999999999</v>
      </c>
      <c r="P9" s="642">
        <v>142.30599999999998</v>
      </c>
      <c r="Q9" s="661">
        <f t="shared" si="0"/>
        <v>142.30599999999998</v>
      </c>
      <c r="R9" s="579"/>
      <c r="S9" s="579"/>
      <c r="T9" s="579"/>
      <c r="U9" s="579"/>
      <c r="V9" s="579"/>
      <c r="W9" s="579"/>
      <c r="X9" s="579"/>
      <c r="Y9" s="579"/>
      <c r="Z9" s="579"/>
      <c r="AA9" s="579"/>
      <c r="AB9" s="579"/>
      <c r="AC9" s="579"/>
      <c r="AD9" s="579"/>
      <c r="AE9" s="579"/>
      <c r="AF9" s="579"/>
      <c r="AG9" s="579"/>
      <c r="AH9" s="579"/>
      <c r="AI9" s="579"/>
      <c r="AJ9" s="579"/>
      <c r="AK9" s="579"/>
      <c r="AL9" s="579"/>
      <c r="AM9" s="579"/>
      <c r="AN9" s="579"/>
      <c r="AO9" s="579"/>
      <c r="AP9" s="579"/>
      <c r="AQ9" s="579"/>
    </row>
    <row r="10" spans="2:43" s="82" customFormat="1" ht="13.5" customHeight="1" outlineLevel="1">
      <c r="B10" s="612" t="str">
        <f>names!$A2373</f>
        <v>Pakistan</v>
      </c>
      <c r="C10" s="642">
        <v>38.700000000000003</v>
      </c>
      <c r="D10" s="642">
        <v>38.700000000000003</v>
      </c>
      <c r="E10" s="642">
        <v>38.700000000000003</v>
      </c>
      <c r="F10" s="642">
        <v>36.700000000000003</v>
      </c>
      <c r="G10" s="856">
        <v>36.700000000000003</v>
      </c>
      <c r="H10" s="642">
        <v>36.700000000000003</v>
      </c>
      <c r="I10" s="642">
        <v>39.460999999999999</v>
      </c>
      <c r="J10" s="642">
        <v>38.789000000000001</v>
      </c>
      <c r="K10" s="642">
        <v>40.497999999999998</v>
      </c>
      <c r="L10" s="856">
        <v>40.497999999999998</v>
      </c>
      <c r="M10" s="642">
        <v>39.854999999999997</v>
      </c>
      <c r="N10" s="642">
        <v>39.28</v>
      </c>
      <c r="O10" s="642">
        <v>38.793999999999997</v>
      </c>
      <c r="P10" s="642">
        <v>38.347000000000001</v>
      </c>
      <c r="Q10" s="661">
        <f t="shared" si="0"/>
        <v>38.347000000000001</v>
      </c>
      <c r="R10" s="579"/>
      <c r="S10" s="579"/>
      <c r="T10" s="579"/>
      <c r="U10" s="579"/>
      <c r="V10" s="579"/>
      <c r="W10" s="579"/>
      <c r="X10" s="579"/>
      <c r="Y10" s="579"/>
      <c r="Z10" s="579"/>
      <c r="AA10" s="579"/>
      <c r="AB10" s="579"/>
      <c r="AC10" s="579"/>
      <c r="AD10" s="579"/>
      <c r="AE10" s="579"/>
      <c r="AF10" s="579"/>
      <c r="AG10" s="579"/>
      <c r="AH10" s="579"/>
      <c r="AI10" s="579"/>
      <c r="AJ10" s="579"/>
      <c r="AK10" s="579"/>
      <c r="AL10" s="579"/>
      <c r="AM10" s="579"/>
      <c r="AN10" s="579"/>
      <c r="AO10" s="579"/>
      <c r="AP10" s="579"/>
      <c r="AQ10" s="579"/>
    </row>
    <row r="11" spans="2:43" s="82" customFormat="1" ht="12.75" customHeight="1" outlineLevel="1">
      <c r="B11" s="614" t="str">
        <f>names!$A2374</f>
        <v>Litwa</v>
      </c>
      <c r="C11" s="642">
        <v>1.3</v>
      </c>
      <c r="D11" s="642">
        <v>1.3</v>
      </c>
      <c r="E11" s="642">
        <v>1.3</v>
      </c>
      <c r="F11" s="642">
        <v>1.1000000000000001</v>
      </c>
      <c r="G11" s="856">
        <v>1.1000000000000001</v>
      </c>
      <c r="H11" s="642">
        <v>1.1000000000000001</v>
      </c>
      <c r="I11" s="642">
        <v>1.034</v>
      </c>
      <c r="J11" s="642">
        <v>0.999</v>
      </c>
      <c r="K11" s="642">
        <v>0.96599999999999997</v>
      </c>
      <c r="L11" s="856">
        <v>0.96599999999999997</v>
      </c>
      <c r="M11" s="642">
        <v>0.93300000000000005</v>
      </c>
      <c r="N11" s="642">
        <v>0.90100000000000002</v>
      </c>
      <c r="O11" s="642">
        <v>0.86899999999999999</v>
      </c>
      <c r="P11" s="642">
        <v>0.83499999999999996</v>
      </c>
      <c r="Q11" s="661">
        <f t="shared" si="0"/>
        <v>0.83499999999999996</v>
      </c>
      <c r="R11" s="579"/>
      <c r="S11" s="579"/>
      <c r="T11" s="579"/>
      <c r="U11" s="579"/>
      <c r="V11" s="579"/>
      <c r="W11" s="579"/>
      <c r="X11" s="579"/>
      <c r="Y11" s="579"/>
      <c r="Z11" s="579"/>
      <c r="AA11" s="579"/>
      <c r="AB11" s="579"/>
      <c r="AC11" s="579"/>
      <c r="AD11" s="579"/>
      <c r="AE11" s="579"/>
      <c r="AF11" s="579"/>
      <c r="AG11" s="579"/>
      <c r="AH11" s="579"/>
      <c r="AI11" s="579"/>
      <c r="AJ11" s="579"/>
      <c r="AK11" s="579"/>
      <c r="AL11" s="579"/>
      <c r="AM11" s="579"/>
      <c r="AN11" s="579"/>
      <c r="AO11" s="579"/>
      <c r="AP11" s="579"/>
      <c r="AQ11" s="579"/>
    </row>
    <row r="12" spans="2:43" s="82" customFormat="1" ht="13.15" customHeight="1" thickBot="1">
      <c r="B12" s="614"/>
      <c r="C12" s="618"/>
      <c r="D12" s="618"/>
      <c r="E12" s="618"/>
      <c r="F12" s="618"/>
      <c r="G12" s="857"/>
      <c r="H12" s="618"/>
      <c r="I12" s="618"/>
      <c r="J12" s="618"/>
      <c r="K12" s="618"/>
      <c r="L12" s="857"/>
      <c r="M12" s="643"/>
      <c r="N12" s="643"/>
      <c r="O12" s="643"/>
      <c r="P12" s="643"/>
      <c r="Q12" s="661"/>
      <c r="R12" s="579"/>
      <c r="S12" s="579"/>
      <c r="T12" s="579"/>
      <c r="U12" s="579"/>
      <c r="V12" s="579"/>
      <c r="W12" s="579"/>
      <c r="X12" s="579"/>
      <c r="Y12" s="579"/>
      <c r="Z12" s="579"/>
      <c r="AA12" s="579"/>
      <c r="AB12" s="579"/>
      <c r="AC12" s="579"/>
      <c r="AD12" s="579"/>
      <c r="AE12" s="579"/>
      <c r="AF12" s="579"/>
      <c r="AG12" s="579"/>
      <c r="AH12" s="579"/>
      <c r="AI12" s="579"/>
      <c r="AJ12" s="579"/>
      <c r="AK12" s="579"/>
      <c r="AL12" s="579"/>
      <c r="AM12" s="579"/>
      <c r="AN12" s="579"/>
      <c r="AO12" s="579"/>
      <c r="AP12" s="579"/>
      <c r="AQ12" s="579"/>
    </row>
    <row r="13" spans="2:43" s="5" customFormat="1" ht="24" customHeight="1" thickBot="1">
      <c r="B13" s="678" t="str">
        <f>names!$A2376</f>
        <v>ROPA NAFTOWA i KONDENSAT</v>
      </c>
      <c r="C13" s="678"/>
      <c r="D13" s="678"/>
      <c r="E13" s="678"/>
      <c r="F13" s="678"/>
      <c r="G13" s="858"/>
      <c r="H13" s="678"/>
      <c r="I13" s="678"/>
      <c r="J13" s="678"/>
      <c r="K13" s="678"/>
      <c r="L13" s="858"/>
      <c r="M13" s="644"/>
      <c r="N13" s="644"/>
      <c r="O13" s="644"/>
      <c r="P13" s="644"/>
      <c r="Q13" s="644"/>
      <c r="S13" s="579"/>
      <c r="T13" s="579"/>
      <c r="U13" s="579"/>
      <c r="V13" s="579"/>
      <c r="W13" s="579"/>
      <c r="X13" s="579"/>
      <c r="Y13" s="579"/>
      <c r="Z13" s="579"/>
    </row>
    <row r="14" spans="2:43" s="5" customFormat="1" ht="13.15" customHeight="1">
      <c r="B14" s="628"/>
      <c r="C14" s="853"/>
      <c r="D14" s="853"/>
      <c r="E14" s="853"/>
      <c r="F14" s="853"/>
      <c r="G14" s="859"/>
      <c r="H14" s="853"/>
      <c r="I14" s="853"/>
      <c r="J14" s="853"/>
      <c r="K14" s="853"/>
      <c r="L14" s="859"/>
      <c r="M14" s="645"/>
      <c r="N14" s="645"/>
      <c r="O14" s="645"/>
      <c r="P14" s="645"/>
      <c r="Q14" s="793"/>
      <c r="S14" s="579"/>
      <c r="T14" s="579"/>
      <c r="U14" s="579"/>
      <c r="V14" s="579"/>
      <c r="W14" s="579"/>
      <c r="X14" s="579"/>
      <c r="Y14" s="579"/>
      <c r="Z14" s="579"/>
    </row>
    <row r="15" spans="2:43" s="5" customFormat="1" ht="12.6" customHeight="1">
      <c r="B15" s="623" t="str">
        <f>names!$A2378</f>
        <v>Produkcja ropy, kondensatu, NGL (w tys. boe)</v>
      </c>
      <c r="C15" s="652">
        <f t="shared" ref="C15:G15" si="1">SUM(C16:C19)</f>
        <v>4560.4988422267961</v>
      </c>
      <c r="D15" s="652">
        <f t="shared" si="1"/>
        <v>4322.3006985864267</v>
      </c>
      <c r="E15" s="652">
        <f t="shared" si="1"/>
        <v>3717.0993198000724</v>
      </c>
      <c r="F15" s="652">
        <f t="shared" si="1"/>
        <v>4704.932440100938</v>
      </c>
      <c r="G15" s="860">
        <f t="shared" si="1"/>
        <v>17304.831300714231</v>
      </c>
      <c r="H15" s="652">
        <f>SUM(H16:H20)</f>
        <v>5346.8499999999995</v>
      </c>
      <c r="I15" s="652">
        <f t="shared" ref="I15:L15" si="2">SUM(I16:I20)</f>
        <v>5231.68</v>
      </c>
      <c r="J15" s="652">
        <f t="shared" si="2"/>
        <v>4610.04</v>
      </c>
      <c r="K15" s="652">
        <f t="shared" si="2"/>
        <v>5395.5800000000008</v>
      </c>
      <c r="L15" s="860">
        <f t="shared" si="2"/>
        <v>20584.150000000001</v>
      </c>
      <c r="M15" s="652">
        <f>SUM(M16:M20)</f>
        <v>5149.3600000000006</v>
      </c>
      <c r="N15" s="652">
        <f t="shared" ref="N15:P15" si="3">SUM(N16:N20)</f>
        <v>4379.5899999999992</v>
      </c>
      <c r="O15" s="652">
        <f t="shared" si="3"/>
        <v>4633.7400000000007</v>
      </c>
      <c r="P15" s="652">
        <f t="shared" si="3"/>
        <v>5071.6799999999994</v>
      </c>
      <c r="Q15" s="794">
        <f>P15+O15+N15+M15</f>
        <v>19234.37</v>
      </c>
      <c r="S15" s="579"/>
      <c r="T15" s="579"/>
      <c r="U15" s="579"/>
      <c r="V15" s="579"/>
      <c r="W15" s="579"/>
      <c r="X15" s="579"/>
      <c r="Y15" s="579"/>
      <c r="Z15" s="579"/>
    </row>
    <row r="16" spans="2:43" s="82" customFormat="1" ht="13.5" customHeight="1" outlineLevel="1">
      <c r="B16" s="614" t="str">
        <f>names!$A2379</f>
        <v>Polska</v>
      </c>
      <c r="C16" s="651">
        <v>1788.0424550665637</v>
      </c>
      <c r="D16" s="651">
        <v>1602.9243472835974</v>
      </c>
      <c r="E16" s="651">
        <v>1307.2220202250901</v>
      </c>
      <c r="F16" s="651">
        <v>1700.5679920629091</v>
      </c>
      <c r="G16" s="861">
        <v>6398.7568146381609</v>
      </c>
      <c r="H16" s="651">
        <v>1690.13</v>
      </c>
      <c r="I16" s="651">
        <v>1530.63</v>
      </c>
      <c r="J16" s="651">
        <v>1257.1099999999999</v>
      </c>
      <c r="K16" s="651">
        <v>1738.02</v>
      </c>
      <c r="L16" s="661">
        <f t="shared" ref="L16:L20" si="4">K16+J16+I16+H16</f>
        <v>6215.89</v>
      </c>
      <c r="M16" s="579">
        <v>1704.51</v>
      </c>
      <c r="N16" s="579">
        <v>1478.61</v>
      </c>
      <c r="O16" s="579">
        <v>1434.52</v>
      </c>
      <c r="P16" s="579">
        <v>1762.43</v>
      </c>
      <c r="Q16" s="661">
        <f t="shared" ref="Q16:Q20" si="5">P16+O16+N16+M16</f>
        <v>6380.07</v>
      </c>
      <c r="S16" s="579"/>
      <c r="T16" s="579"/>
      <c r="U16" s="579"/>
      <c r="V16" s="579"/>
      <c r="W16" s="579"/>
      <c r="X16" s="579"/>
      <c r="Y16" s="579"/>
      <c r="Z16" s="579"/>
    </row>
    <row r="17" spans="2:26" s="82" customFormat="1" ht="13.5" customHeight="1" outlineLevel="1">
      <c r="B17" s="614" t="str">
        <f>names!$A2380</f>
        <v>Norwegia</v>
      </c>
      <c r="C17" s="651">
        <v>2107.9883871602328</v>
      </c>
      <c r="D17" s="651">
        <v>1974.6003513028293</v>
      </c>
      <c r="E17" s="651">
        <v>1753.966299574982</v>
      </c>
      <c r="F17" s="651">
        <v>2192.5814480380295</v>
      </c>
      <c r="G17" s="861">
        <v>8029.1364860760732</v>
      </c>
      <c r="H17" s="651">
        <v>2916.62</v>
      </c>
      <c r="I17" s="651">
        <v>3034.67</v>
      </c>
      <c r="J17" s="651">
        <v>2662.67</v>
      </c>
      <c r="K17" s="651">
        <v>3031.58</v>
      </c>
      <c r="L17" s="661">
        <f t="shared" si="4"/>
        <v>11645.54</v>
      </c>
      <c r="M17" s="579">
        <v>2803.67</v>
      </c>
      <c r="N17" s="579">
        <v>2302.71</v>
      </c>
      <c r="O17" s="579">
        <v>2494.08</v>
      </c>
      <c r="P17" s="579">
        <v>2500.14</v>
      </c>
      <c r="Q17" s="661">
        <f t="shared" si="5"/>
        <v>10100.599999999999</v>
      </c>
      <c r="S17" s="579"/>
      <c r="T17" s="579"/>
      <c r="U17" s="579"/>
      <c r="V17" s="579"/>
      <c r="W17" s="579"/>
      <c r="X17" s="579"/>
      <c r="Y17" s="579"/>
      <c r="Z17" s="579"/>
    </row>
    <row r="18" spans="2:26" s="82" customFormat="1" ht="13.5" customHeight="1" outlineLevel="1">
      <c r="B18" s="614" t="str">
        <f>names!$A2381</f>
        <v>Kanada</v>
      </c>
      <c r="C18" s="651">
        <v>632</v>
      </c>
      <c r="D18" s="651">
        <v>713</v>
      </c>
      <c r="E18" s="651">
        <v>625.6</v>
      </c>
      <c r="F18" s="651">
        <v>781.4</v>
      </c>
      <c r="G18" s="861">
        <v>2752</v>
      </c>
      <c r="H18" s="651">
        <v>710</v>
      </c>
      <c r="I18" s="651">
        <v>637</v>
      </c>
      <c r="J18" s="651">
        <v>661</v>
      </c>
      <c r="K18" s="651">
        <v>597</v>
      </c>
      <c r="L18" s="661">
        <f t="shared" si="4"/>
        <v>2605</v>
      </c>
      <c r="M18" s="579">
        <v>613</v>
      </c>
      <c r="N18" s="579">
        <v>571</v>
      </c>
      <c r="O18" s="579">
        <v>678</v>
      </c>
      <c r="P18" s="579">
        <v>782</v>
      </c>
      <c r="Q18" s="661">
        <f t="shared" si="5"/>
        <v>2644</v>
      </c>
      <c r="S18" s="579"/>
      <c r="T18" s="579"/>
      <c r="U18" s="579"/>
      <c r="V18" s="579"/>
      <c r="W18" s="579"/>
      <c r="X18" s="579"/>
      <c r="Y18" s="579"/>
      <c r="Z18" s="579"/>
    </row>
    <row r="19" spans="2:26" s="82" customFormat="1" ht="13.5" customHeight="1" outlineLevel="1">
      <c r="B19" s="614" t="str">
        <f>names!$A2382</f>
        <v>Litwa</v>
      </c>
      <c r="C19" s="643">
        <v>32.468000000000004</v>
      </c>
      <c r="D19" s="643">
        <v>31.776</v>
      </c>
      <c r="E19" s="643">
        <v>30.311</v>
      </c>
      <c r="F19" s="643">
        <v>30.382999999999999</v>
      </c>
      <c r="G19" s="856">
        <v>124.938</v>
      </c>
      <c r="H19" s="643">
        <v>28.95</v>
      </c>
      <c r="I19" s="643">
        <v>28.46</v>
      </c>
      <c r="J19" s="643">
        <v>28.43</v>
      </c>
      <c r="K19" s="643">
        <v>28.09</v>
      </c>
      <c r="L19" s="661">
        <f t="shared" si="4"/>
        <v>113.92999999999999</v>
      </c>
      <c r="M19" s="579">
        <v>27.26</v>
      </c>
      <c r="N19" s="579">
        <v>26.57</v>
      </c>
      <c r="O19" s="579">
        <v>26.55</v>
      </c>
      <c r="P19" s="579">
        <v>26.41</v>
      </c>
      <c r="Q19" s="661">
        <f t="shared" si="5"/>
        <v>106.79</v>
      </c>
      <c r="S19" s="579"/>
      <c r="T19" s="579"/>
      <c r="U19" s="579"/>
      <c r="V19" s="579"/>
      <c r="W19" s="579"/>
      <c r="X19" s="579"/>
      <c r="Y19" s="579"/>
      <c r="Z19" s="579"/>
    </row>
    <row r="20" spans="2:26" s="82" customFormat="1" ht="13.5" customHeight="1" outlineLevel="1">
      <c r="B20" s="614" t="str">
        <f>names!$A2383</f>
        <v>Pakistan</v>
      </c>
      <c r="C20" s="643" t="s">
        <v>657</v>
      </c>
      <c r="D20" s="643" t="s">
        <v>657</v>
      </c>
      <c r="E20" s="643" t="s">
        <v>657</v>
      </c>
      <c r="F20" s="643" t="s">
        <v>657</v>
      </c>
      <c r="G20" s="856" t="s">
        <v>657</v>
      </c>
      <c r="H20" s="643">
        <v>1.1499999999999999</v>
      </c>
      <c r="I20" s="643">
        <v>0.92</v>
      </c>
      <c r="J20" s="643">
        <v>0.83</v>
      </c>
      <c r="K20" s="643">
        <v>0.89</v>
      </c>
      <c r="L20" s="661">
        <f t="shared" si="4"/>
        <v>3.79</v>
      </c>
      <c r="M20" s="579">
        <v>0.92</v>
      </c>
      <c r="N20" s="579">
        <v>0.7</v>
      </c>
      <c r="O20" s="579">
        <v>0.59</v>
      </c>
      <c r="P20" s="579">
        <v>0.7</v>
      </c>
      <c r="Q20" s="661">
        <f t="shared" si="5"/>
        <v>2.91</v>
      </c>
      <c r="S20" s="579"/>
      <c r="T20" s="579"/>
      <c r="U20" s="579"/>
      <c r="V20" s="579"/>
      <c r="W20" s="579"/>
      <c r="X20" s="579"/>
      <c r="Y20" s="579"/>
      <c r="Z20" s="579"/>
    </row>
    <row r="21" spans="2:26" s="82" customFormat="1" ht="8.1" customHeight="1" thickBot="1">
      <c r="B21" s="614"/>
      <c r="C21" s="618"/>
      <c r="D21" s="618"/>
      <c r="E21" s="618"/>
      <c r="F21" s="618"/>
      <c r="G21" s="857"/>
      <c r="H21" s="618"/>
      <c r="I21" s="618"/>
      <c r="J21" s="618"/>
      <c r="K21" s="618"/>
      <c r="L21" s="857"/>
      <c r="M21" s="643"/>
      <c r="N21" s="643"/>
      <c r="O21" s="643"/>
      <c r="P21" s="643"/>
      <c r="Q21" s="661"/>
      <c r="S21" s="579"/>
      <c r="T21" s="579"/>
      <c r="U21" s="579"/>
      <c r="V21" s="579"/>
      <c r="W21" s="579"/>
      <c r="X21" s="579"/>
      <c r="Y21" s="579"/>
      <c r="Z21" s="579"/>
    </row>
    <row r="22" spans="2:26" s="82" customFormat="1" ht="24" customHeight="1" thickBot="1">
      <c r="B22" s="678" t="str">
        <f>names!$A2385</f>
        <v>GAZ ZIEMNY</v>
      </c>
      <c r="C22" s="678"/>
      <c r="D22" s="678"/>
      <c r="E22" s="678"/>
      <c r="F22" s="678"/>
      <c r="G22" s="858"/>
      <c r="H22" s="678"/>
      <c r="I22" s="678"/>
      <c r="J22" s="678"/>
      <c r="K22" s="678"/>
      <c r="L22" s="858"/>
      <c r="M22" s="644"/>
      <c r="N22" s="644"/>
      <c r="O22" s="644"/>
      <c r="P22" s="644"/>
      <c r="Q22" s="644"/>
      <c r="S22" s="579"/>
      <c r="T22" s="579"/>
      <c r="U22" s="579"/>
      <c r="V22" s="579"/>
      <c r="W22" s="579"/>
      <c r="X22" s="579"/>
      <c r="Y22" s="579"/>
      <c r="Z22" s="579"/>
    </row>
    <row r="23" spans="2:26" s="82" customFormat="1" ht="13.15" customHeight="1">
      <c r="B23" s="628"/>
      <c r="C23" s="853"/>
      <c r="D23" s="853"/>
      <c r="E23" s="853"/>
      <c r="F23" s="853"/>
      <c r="G23" s="859"/>
      <c r="H23" s="853"/>
      <c r="I23" s="853"/>
      <c r="J23" s="853"/>
      <c r="K23" s="853"/>
      <c r="L23" s="859"/>
      <c r="M23" s="645"/>
      <c r="N23" s="645"/>
      <c r="O23" s="645"/>
      <c r="P23" s="645"/>
      <c r="Q23" s="793"/>
      <c r="S23" s="579"/>
      <c r="T23" s="579"/>
      <c r="U23" s="579"/>
      <c r="V23" s="579"/>
      <c r="W23" s="579"/>
      <c r="X23" s="579"/>
      <c r="Y23" s="579"/>
      <c r="Z23" s="579"/>
    </row>
    <row r="24" spans="2:26" s="82" customFormat="1" ht="13.5" customHeight="1">
      <c r="B24" s="623" t="str">
        <f>names!$A2387</f>
        <v>Produkcja gazu (w tys. boe)</v>
      </c>
      <c r="C24" s="652">
        <f>SUM(C25:C28)</f>
        <v>12497.067151392581</v>
      </c>
      <c r="D24" s="652">
        <f>SUM(D25:D28)</f>
        <v>10592.500498590049</v>
      </c>
      <c r="E24" s="652">
        <f>SUM(E25:E28)</f>
        <v>10534.076431564548</v>
      </c>
      <c r="F24" s="652">
        <f t="shared" ref="F24:O24" si="6">SUM(F25:F28)</f>
        <v>12249.699464267749</v>
      </c>
      <c r="G24" s="860">
        <f t="shared" si="6"/>
        <v>45873.343545814925</v>
      </c>
      <c r="H24" s="652">
        <f t="shared" si="6"/>
        <v>14491.64</v>
      </c>
      <c r="I24" s="652">
        <f t="shared" si="6"/>
        <v>13654.44</v>
      </c>
      <c r="J24" s="652">
        <f t="shared" si="6"/>
        <v>12810.039999999999</v>
      </c>
      <c r="K24" s="652">
        <f t="shared" si="6"/>
        <v>14444</v>
      </c>
      <c r="L24" s="860">
        <f t="shared" si="6"/>
        <v>55400.119999999995</v>
      </c>
      <c r="M24" s="652">
        <f t="shared" si="6"/>
        <v>13960.65</v>
      </c>
      <c r="N24" s="652">
        <v>12180.7288794329</v>
      </c>
      <c r="O24" s="652">
        <f t="shared" si="6"/>
        <v>13520.12</v>
      </c>
      <c r="P24" s="652">
        <v>14663.091948458912</v>
      </c>
      <c r="Q24" s="794">
        <f>P24+O24+N24+M24</f>
        <v>54324.590827891814</v>
      </c>
      <c r="S24" s="960"/>
      <c r="T24" s="579"/>
      <c r="U24" s="579"/>
      <c r="V24" s="579"/>
      <c r="W24" s="579"/>
      <c r="X24" s="579"/>
      <c r="Y24" s="579"/>
      <c r="Z24" s="579"/>
    </row>
    <row r="25" spans="2:26" s="82" customFormat="1" ht="13.5" customHeight="1" outlineLevel="1">
      <c r="B25" s="614" t="str">
        <f>names!$A2388</f>
        <v>Polska</v>
      </c>
      <c r="C25" s="643">
        <v>5692.4733222959721</v>
      </c>
      <c r="D25" s="643">
        <v>5196.6031960790569</v>
      </c>
      <c r="E25" s="643">
        <v>5008.5003670686683</v>
      </c>
      <c r="F25" s="613">
        <v>5657.247910449968</v>
      </c>
      <c r="G25" s="856">
        <v>21554.824795893666</v>
      </c>
      <c r="H25" s="643">
        <v>5692.43</v>
      </c>
      <c r="I25" s="643">
        <v>4814.24</v>
      </c>
      <c r="J25" s="643">
        <v>5188.0600000000004</v>
      </c>
      <c r="K25" s="643">
        <v>5680.69</v>
      </c>
      <c r="L25" s="661">
        <f t="shared" ref="L25:L28" si="7">K25+J25+I25+H25</f>
        <v>21375.42</v>
      </c>
      <c r="M25" s="643">
        <v>5629.32</v>
      </c>
      <c r="N25" s="643">
        <v>4939.8500000000004</v>
      </c>
      <c r="O25" s="643">
        <v>5498.81</v>
      </c>
      <c r="P25" s="643">
        <v>5725.01</v>
      </c>
      <c r="Q25" s="661">
        <f t="shared" ref="Q25:Q33" si="8">P25+O25+N25+M25</f>
        <v>21792.989999999998</v>
      </c>
      <c r="S25" s="579"/>
      <c r="T25" s="579"/>
      <c r="U25" s="579"/>
      <c r="V25" s="579"/>
      <c r="W25" s="579"/>
      <c r="X25" s="579"/>
      <c r="Y25" s="579"/>
      <c r="Z25" s="579"/>
    </row>
    <row r="26" spans="2:26" s="82" customFormat="1" ht="13.5" customHeight="1" outlineLevel="1">
      <c r="B26" s="614" t="str">
        <f>names!$A2389</f>
        <v>Norwegia</v>
      </c>
      <c r="C26" s="643">
        <v>5704.209194390729</v>
      </c>
      <c r="D26" s="643">
        <v>4242.3868689815818</v>
      </c>
      <c r="E26" s="643">
        <v>4399.2070033194004</v>
      </c>
      <c r="F26" s="613">
        <v>5357.1797791118997</v>
      </c>
      <c r="G26" s="856">
        <v>19702.98284580361</v>
      </c>
      <c r="H26" s="643">
        <v>7592.66</v>
      </c>
      <c r="I26" s="643">
        <v>7605.21</v>
      </c>
      <c r="J26" s="643">
        <v>6269.76</v>
      </c>
      <c r="K26" s="643">
        <v>7412.04</v>
      </c>
      <c r="L26" s="661">
        <f t="shared" si="7"/>
        <v>28879.67</v>
      </c>
      <c r="M26" s="643">
        <v>7079.99</v>
      </c>
      <c r="N26" s="643">
        <v>6063.57</v>
      </c>
      <c r="O26" s="643">
        <v>6841.89</v>
      </c>
      <c r="P26" s="643">
        <v>7766.26</v>
      </c>
      <c r="Q26" s="661">
        <f t="shared" si="8"/>
        <v>27751.71</v>
      </c>
      <c r="S26" s="579"/>
      <c r="T26" s="579"/>
      <c r="U26" s="579"/>
      <c r="V26" s="579"/>
      <c r="W26" s="579"/>
      <c r="X26" s="579"/>
      <c r="Y26" s="579"/>
      <c r="Z26" s="579"/>
    </row>
    <row r="27" spans="2:26" s="82" customFormat="1" ht="13.5" customHeight="1" outlineLevel="1">
      <c r="B27" s="614" t="str">
        <f>names!$A2390</f>
        <v>Kanada</v>
      </c>
      <c r="C27" s="643">
        <v>612</v>
      </c>
      <c r="D27" s="643">
        <v>686</v>
      </c>
      <c r="E27" s="643">
        <v>658.5</v>
      </c>
      <c r="F27" s="613">
        <v>694.5</v>
      </c>
      <c r="G27" s="856">
        <v>2651</v>
      </c>
      <c r="H27" s="643">
        <v>641</v>
      </c>
      <c r="I27" s="643">
        <v>687</v>
      </c>
      <c r="J27" s="643">
        <v>706</v>
      </c>
      <c r="K27" s="643">
        <v>709</v>
      </c>
      <c r="L27" s="661">
        <f t="shared" si="7"/>
        <v>2743</v>
      </c>
      <c r="M27" s="643">
        <v>635</v>
      </c>
      <c r="N27" s="643">
        <v>628</v>
      </c>
      <c r="O27" s="643">
        <v>716</v>
      </c>
      <c r="P27" s="643">
        <v>744</v>
      </c>
      <c r="Q27" s="661">
        <f t="shared" si="8"/>
        <v>2723</v>
      </c>
      <c r="S27" s="579"/>
      <c r="T27" s="579"/>
      <c r="U27" s="579"/>
      <c r="V27" s="579"/>
      <c r="W27" s="579"/>
      <c r="X27" s="579"/>
      <c r="Y27" s="579"/>
      <c r="Z27" s="579"/>
    </row>
    <row r="28" spans="2:26" s="82" customFormat="1" ht="13.5" customHeight="1" outlineLevel="1">
      <c r="B28" s="614" t="str">
        <f>names!$A2391</f>
        <v>Pakistan</v>
      </c>
      <c r="C28" s="643">
        <v>488.38463470587976</v>
      </c>
      <c r="D28" s="643">
        <v>467.51043352940997</v>
      </c>
      <c r="E28" s="643">
        <v>467.86906117647959</v>
      </c>
      <c r="F28" s="613">
        <v>540.77177470588049</v>
      </c>
      <c r="G28" s="856">
        <v>1964.5359041176498</v>
      </c>
      <c r="H28" s="643">
        <v>565.54999999999995</v>
      </c>
      <c r="I28" s="643">
        <v>547.99</v>
      </c>
      <c r="J28" s="643">
        <v>646.22</v>
      </c>
      <c r="K28" s="643">
        <v>642.27</v>
      </c>
      <c r="L28" s="661">
        <f t="shared" si="7"/>
        <v>2402.0299999999997</v>
      </c>
      <c r="M28" s="643">
        <v>616.34</v>
      </c>
      <c r="N28" s="643">
        <v>549.29999999999995</v>
      </c>
      <c r="O28" s="643">
        <v>463.42</v>
      </c>
      <c r="P28" s="643">
        <v>427.83</v>
      </c>
      <c r="Q28" s="661">
        <f t="shared" si="8"/>
        <v>2056.89</v>
      </c>
      <c r="S28" s="579"/>
      <c r="T28" s="579"/>
      <c r="U28" s="579"/>
      <c r="V28" s="579"/>
      <c r="W28" s="579"/>
      <c r="X28" s="579"/>
      <c r="Y28" s="579"/>
      <c r="Z28" s="579"/>
    </row>
    <row r="29" spans="2:26" s="82" customFormat="1" ht="13.5" customHeight="1">
      <c r="B29" s="623" t="str">
        <f>names!$A2392</f>
        <v>Produkcja gazu (TWh)</v>
      </c>
      <c r="C29" s="652">
        <f>SUM(C30:C33)</f>
        <v>21.245014157367386</v>
      </c>
      <c r="D29" s="652">
        <f>SUM(D30:D33)</f>
        <v>18.007250847603082</v>
      </c>
      <c r="E29" s="652">
        <f>SUM(E30:E33)</f>
        <v>17.90792993365973</v>
      </c>
      <c r="F29" s="652">
        <f t="shared" ref="F29:L29" si="9">SUM(F30:F33)</f>
        <v>20.82448908925517</v>
      </c>
      <c r="G29" s="860">
        <f t="shared" si="9"/>
        <v>77.984684027885365</v>
      </c>
      <c r="H29" s="652">
        <f t="shared" si="9"/>
        <v>24.64</v>
      </c>
      <c r="I29" s="652">
        <f t="shared" si="9"/>
        <v>23.21</v>
      </c>
      <c r="J29" s="652">
        <f t="shared" si="9"/>
        <v>21.78</v>
      </c>
      <c r="K29" s="652">
        <f t="shared" si="9"/>
        <v>24.56</v>
      </c>
      <c r="L29" s="860">
        <f t="shared" si="9"/>
        <v>94.19</v>
      </c>
      <c r="M29" s="652">
        <f>SUM(M30:M33)</f>
        <v>23.74</v>
      </c>
      <c r="N29" s="652">
        <v>20.707239095035927</v>
      </c>
      <c r="O29" s="652">
        <f t="shared" ref="O29:Q29" si="10">SUM(O30:O33)</f>
        <v>22.99</v>
      </c>
      <c r="P29" s="652">
        <f t="shared" si="10"/>
        <v>24.92</v>
      </c>
      <c r="Q29" s="794">
        <f t="shared" si="10"/>
        <v>92.359999999999985</v>
      </c>
      <c r="S29" s="579"/>
      <c r="T29" s="579"/>
      <c r="U29" s="579"/>
      <c r="V29" s="579"/>
      <c r="W29" s="579"/>
      <c r="X29" s="579"/>
      <c r="Y29" s="579"/>
      <c r="Z29" s="579"/>
    </row>
    <row r="30" spans="2:26" s="82" customFormat="1" ht="13.5" customHeight="1" outlineLevel="1">
      <c r="B30" s="614" t="str">
        <f>names!$A2393</f>
        <v>Polska</v>
      </c>
      <c r="C30" s="643">
        <v>9.6772046479031513</v>
      </c>
      <c r="D30" s="643">
        <v>8.8342254333343977</v>
      </c>
      <c r="E30" s="643">
        <v>8.5144506240167352</v>
      </c>
      <c r="F30" s="613">
        <v>9.6173214477649456</v>
      </c>
      <c r="G30" s="856">
        <v>36.643202153019232</v>
      </c>
      <c r="H30" s="643">
        <v>9.68</v>
      </c>
      <c r="I30" s="643">
        <v>8.18</v>
      </c>
      <c r="J30" s="643">
        <v>8.82</v>
      </c>
      <c r="K30" s="643">
        <v>9.66</v>
      </c>
      <c r="L30" s="661">
        <f t="shared" ref="L30:L33" si="11">K30+J30+I30+H30</f>
        <v>36.340000000000003</v>
      </c>
      <c r="M30" s="643">
        <v>9.57</v>
      </c>
      <c r="N30" s="643">
        <v>8.4</v>
      </c>
      <c r="O30" s="643">
        <v>9.35</v>
      </c>
      <c r="P30" s="643">
        <v>9.73</v>
      </c>
      <c r="Q30" s="661">
        <f t="shared" si="8"/>
        <v>37.049999999999997</v>
      </c>
      <c r="S30" s="579"/>
      <c r="T30" s="579"/>
      <c r="U30" s="579"/>
      <c r="V30" s="579"/>
      <c r="W30" s="579"/>
      <c r="X30" s="579"/>
      <c r="Y30" s="579"/>
      <c r="Z30" s="579"/>
    </row>
    <row r="31" spans="2:26" s="82" customFormat="1" ht="13.5" customHeight="1" outlineLevel="1">
      <c r="B31" s="614" t="str">
        <f>names!$A2394</f>
        <v>Norwegia</v>
      </c>
      <c r="C31" s="643">
        <v>9.6971556304642395</v>
      </c>
      <c r="D31" s="643">
        <v>7.2120576772686888</v>
      </c>
      <c r="E31" s="643">
        <v>7.4786519056429803</v>
      </c>
      <c r="F31" s="613">
        <v>9.1072056244902289</v>
      </c>
      <c r="G31" s="856">
        <v>33.495070837866137</v>
      </c>
      <c r="H31" s="643">
        <v>12.91</v>
      </c>
      <c r="I31" s="643">
        <v>12.93</v>
      </c>
      <c r="J31" s="643">
        <v>10.66</v>
      </c>
      <c r="K31" s="643">
        <v>12.6</v>
      </c>
      <c r="L31" s="661">
        <f t="shared" si="11"/>
        <v>49.099999999999994</v>
      </c>
      <c r="M31" s="643">
        <v>12.04</v>
      </c>
      <c r="N31" s="643">
        <v>10.31</v>
      </c>
      <c r="O31" s="643">
        <v>11.63</v>
      </c>
      <c r="P31" s="643">
        <v>13.2</v>
      </c>
      <c r="Q31" s="661">
        <f t="shared" si="8"/>
        <v>47.18</v>
      </c>
      <c r="S31" s="579"/>
      <c r="T31" s="579"/>
      <c r="U31" s="579"/>
      <c r="V31" s="579"/>
      <c r="W31" s="579"/>
      <c r="X31" s="579"/>
      <c r="Y31" s="579"/>
      <c r="Z31" s="579"/>
    </row>
    <row r="32" spans="2:26" s="82" customFormat="1" ht="13.5" customHeight="1" outlineLevel="1">
      <c r="B32" s="614" t="str">
        <f>names!$A2395</f>
        <v>Kanada</v>
      </c>
      <c r="C32" s="643">
        <v>1.0404</v>
      </c>
      <c r="D32" s="643">
        <v>1.1661999999999999</v>
      </c>
      <c r="E32" s="643">
        <v>1.1194500000000001</v>
      </c>
      <c r="F32" s="613">
        <v>1.18065</v>
      </c>
      <c r="G32" s="856">
        <v>4.5067000000000004</v>
      </c>
      <c r="H32" s="643">
        <v>1.0900000000000001</v>
      </c>
      <c r="I32" s="643">
        <v>1.17</v>
      </c>
      <c r="J32" s="643">
        <v>1.2</v>
      </c>
      <c r="K32" s="643">
        <v>1.21</v>
      </c>
      <c r="L32" s="661">
        <f t="shared" si="11"/>
        <v>4.67</v>
      </c>
      <c r="M32" s="643">
        <v>1.08</v>
      </c>
      <c r="N32" s="643">
        <v>1.07</v>
      </c>
      <c r="O32" s="643">
        <v>1.22</v>
      </c>
      <c r="P32" s="643">
        <v>1.26</v>
      </c>
      <c r="Q32" s="661">
        <f t="shared" si="8"/>
        <v>4.63</v>
      </c>
      <c r="S32" s="579"/>
      <c r="T32" s="579"/>
      <c r="U32" s="579"/>
      <c r="V32" s="579"/>
      <c r="W32" s="579"/>
      <c r="X32" s="579"/>
      <c r="Y32" s="579"/>
      <c r="Z32" s="579"/>
    </row>
    <row r="33" spans="2:28" s="82" customFormat="1" ht="13.5" customHeight="1" outlineLevel="1">
      <c r="B33" s="614" t="str">
        <f>names!$A2396</f>
        <v>Pakistan</v>
      </c>
      <c r="C33" s="643">
        <v>0.8302538789999957</v>
      </c>
      <c r="D33" s="643">
        <v>0.79476773699999692</v>
      </c>
      <c r="E33" s="643">
        <v>0.79537740400001533</v>
      </c>
      <c r="F33" s="613">
        <v>0.91931201699999687</v>
      </c>
      <c r="G33" s="856">
        <v>3.3397110370000047</v>
      </c>
      <c r="H33" s="643">
        <v>0.96</v>
      </c>
      <c r="I33" s="643">
        <v>0.93</v>
      </c>
      <c r="J33" s="643">
        <v>1.1000000000000001</v>
      </c>
      <c r="K33" s="643">
        <v>1.0900000000000001</v>
      </c>
      <c r="L33" s="661">
        <f t="shared" si="11"/>
        <v>4.08</v>
      </c>
      <c r="M33" s="643">
        <v>1.05</v>
      </c>
      <c r="N33" s="643">
        <v>0.93</v>
      </c>
      <c r="O33" s="643">
        <v>0.79</v>
      </c>
      <c r="P33" s="643">
        <v>0.73</v>
      </c>
      <c r="Q33" s="661">
        <f t="shared" si="8"/>
        <v>3.5</v>
      </c>
      <c r="S33" s="579"/>
      <c r="T33" s="579"/>
      <c r="U33" s="579"/>
      <c r="V33" s="579"/>
      <c r="W33" s="579"/>
      <c r="X33" s="579"/>
      <c r="Y33" s="579"/>
      <c r="Z33" s="579"/>
    </row>
    <row r="34" spans="2:28" s="82" customFormat="1" ht="6.6" customHeight="1">
      <c r="B34" s="612"/>
      <c r="C34" s="612"/>
      <c r="D34" s="612"/>
      <c r="E34" s="612"/>
      <c r="F34" s="612"/>
      <c r="G34" s="862"/>
      <c r="H34" s="612"/>
      <c r="I34" s="612"/>
      <c r="J34" s="612"/>
      <c r="K34" s="612"/>
      <c r="L34" s="862"/>
      <c r="M34" s="646"/>
      <c r="N34" s="643"/>
      <c r="O34" s="643"/>
      <c r="P34" s="643"/>
      <c r="Q34" s="661"/>
      <c r="S34" s="579"/>
      <c r="T34" s="579"/>
      <c r="U34" s="579"/>
      <c r="V34" s="579"/>
      <c r="W34" s="579"/>
      <c r="X34" s="579"/>
      <c r="Y34" s="579"/>
      <c r="Z34" s="579"/>
    </row>
    <row r="35" spans="2:28" s="82" customFormat="1" ht="5.65" customHeight="1" thickBot="1">
      <c r="B35" s="614"/>
      <c r="C35" s="618"/>
      <c r="D35" s="618"/>
      <c r="E35" s="618"/>
      <c r="F35" s="618"/>
      <c r="G35" s="857"/>
      <c r="H35" s="618"/>
      <c r="I35" s="618"/>
      <c r="J35" s="618"/>
      <c r="K35" s="618"/>
      <c r="L35" s="857"/>
      <c r="M35" s="643"/>
      <c r="N35" s="643"/>
      <c r="O35" s="643"/>
      <c r="P35" s="643"/>
      <c r="Q35" s="661"/>
      <c r="S35" s="579"/>
      <c r="T35" s="579"/>
      <c r="U35" s="579"/>
      <c r="V35" s="579"/>
      <c r="W35" s="579"/>
      <c r="X35" s="579"/>
      <c r="Y35" s="579"/>
      <c r="Z35" s="579"/>
    </row>
    <row r="36" spans="2:28" s="82" customFormat="1" ht="13.15" customHeight="1">
      <c r="B36" s="629"/>
      <c r="C36" s="629"/>
      <c r="D36" s="629"/>
      <c r="E36" s="629"/>
      <c r="F36" s="629"/>
      <c r="G36" s="863"/>
      <c r="H36" s="629"/>
      <c r="I36" s="629"/>
      <c r="J36" s="629"/>
      <c r="K36" s="629"/>
      <c r="L36" s="863"/>
      <c r="M36" s="648"/>
      <c r="N36" s="648"/>
      <c r="O36" s="648"/>
      <c r="P36" s="648"/>
      <c r="Q36" s="795"/>
      <c r="S36" s="579"/>
      <c r="T36" s="579"/>
      <c r="U36" s="579"/>
      <c r="V36" s="579"/>
      <c r="W36" s="579"/>
      <c r="X36" s="579"/>
      <c r="Y36" s="579"/>
      <c r="Z36" s="579"/>
    </row>
    <row r="37" spans="2:28" s="5" customFormat="1" ht="12.6" customHeight="1">
      <c r="B37" s="623" t="str">
        <f>names!$A2400</f>
        <v>Import do Polski (TWh)</v>
      </c>
      <c r="C37" s="652">
        <v>33.071285232242467</v>
      </c>
      <c r="D37" s="652">
        <v>35.313556547000005</v>
      </c>
      <c r="E37" s="652">
        <v>43.798677677000001</v>
      </c>
      <c r="F37" s="652">
        <v>42.103595994999999</v>
      </c>
      <c r="G37" s="860">
        <v>154.28711545124247</v>
      </c>
      <c r="H37" s="652">
        <f>H38+H41+H43</f>
        <v>28.11</v>
      </c>
      <c r="I37" s="652">
        <f t="shared" ref="I37:K37" si="12">I38+I41+I43</f>
        <v>38.760000000000005</v>
      </c>
      <c r="J37" s="652">
        <f t="shared" si="12"/>
        <v>38.19</v>
      </c>
      <c r="K37" s="652">
        <f t="shared" si="12"/>
        <v>45.129999999999995</v>
      </c>
      <c r="L37" s="860">
        <f t="shared" ref="L37:L52" si="13">K37+J37+I37+H37</f>
        <v>150.19</v>
      </c>
      <c r="M37" s="652">
        <f>M38+M41+M43</f>
        <v>43.04</v>
      </c>
      <c r="N37" s="652">
        <f t="shared" ref="N37:P37" si="14">N38+N41+N43</f>
        <v>42.6</v>
      </c>
      <c r="O37" s="652">
        <f t="shared" si="14"/>
        <v>49.379999999999995</v>
      </c>
      <c r="P37" s="652">
        <f t="shared" si="14"/>
        <v>57.59</v>
      </c>
      <c r="Q37" s="794">
        <f>P37+O37+N37+M37</f>
        <v>192.60999999999999</v>
      </c>
      <c r="S37" s="579"/>
      <c r="T37" s="579"/>
      <c r="U37" s="579"/>
      <c r="V37" s="579"/>
      <c r="W37" s="579"/>
      <c r="X37" s="579"/>
      <c r="Y37" s="579"/>
      <c r="Z37" s="579"/>
    </row>
    <row r="38" spans="2:28" s="82" customFormat="1" ht="13.5" customHeight="1" outlineLevel="1">
      <c r="B38" s="614" t="str">
        <f>names!$A2401</f>
        <v xml:space="preserve">   - z kierunku wschodniego, w tym:</v>
      </c>
      <c r="C38" s="653">
        <v>1.190061045</v>
      </c>
      <c r="D38" s="653">
        <v>0.41239565500000003</v>
      </c>
      <c r="E38" s="643">
        <v>9.5699999999999995E-4</v>
      </c>
      <c r="F38" s="613">
        <v>3.2642530000000001</v>
      </c>
      <c r="G38" s="856">
        <v>4.8676667</v>
      </c>
      <c r="H38" s="653">
        <v>0.1</v>
      </c>
      <c r="I38" s="653">
        <v>1.27</v>
      </c>
      <c r="J38" s="653">
        <v>4.08</v>
      </c>
      <c r="K38" s="643">
        <v>3.25</v>
      </c>
      <c r="L38" s="856">
        <f t="shared" si="13"/>
        <v>8.6999999999999993</v>
      </c>
      <c r="M38" s="653">
        <v>0.28999999999999998</v>
      </c>
      <c r="N38" s="653">
        <v>1.04</v>
      </c>
      <c r="O38" s="653">
        <v>1.08</v>
      </c>
      <c r="P38" s="643">
        <v>1.39</v>
      </c>
      <c r="Q38" s="661">
        <f t="shared" ref="Q38:Q56" si="15">P38+O38+N38+M38</f>
        <v>3.8</v>
      </c>
      <c r="S38" s="579"/>
      <c r="T38" s="579"/>
      <c r="U38" s="579"/>
      <c r="V38" s="579"/>
      <c r="W38" s="579"/>
      <c r="X38" s="579"/>
      <c r="Y38" s="579"/>
      <c r="Z38" s="579"/>
      <c r="AA38" s="579"/>
    </row>
    <row r="39" spans="2:28" s="82" customFormat="1" ht="13.5" customHeight="1" outlineLevel="1">
      <c r="B39" s="615" t="str">
        <f>names!$A2402</f>
        <v xml:space="preserve"> Litwa</v>
      </c>
      <c r="C39" s="653">
        <v>1.190061045</v>
      </c>
      <c r="D39" s="653">
        <v>0.41239565500000003</v>
      </c>
      <c r="E39" s="643">
        <v>9.5699999999999995E-4</v>
      </c>
      <c r="F39" s="613">
        <v>0.59113300000000002</v>
      </c>
      <c r="G39" s="856">
        <v>2.1945467000000001</v>
      </c>
      <c r="H39" s="653">
        <v>0.01</v>
      </c>
      <c r="I39" s="653">
        <v>0</v>
      </c>
      <c r="J39" s="653">
        <v>0</v>
      </c>
      <c r="K39" s="643">
        <v>0.35</v>
      </c>
      <c r="L39" s="856">
        <f t="shared" si="13"/>
        <v>0.36</v>
      </c>
      <c r="M39" s="653">
        <v>0.28999999999999998</v>
      </c>
      <c r="N39" s="653">
        <v>1.04</v>
      </c>
      <c r="O39" s="653">
        <v>1.08</v>
      </c>
      <c r="P39" s="643">
        <v>1.39</v>
      </c>
      <c r="Q39" s="661">
        <f t="shared" si="15"/>
        <v>3.8</v>
      </c>
      <c r="S39" s="579"/>
      <c r="T39" s="579"/>
      <c r="U39" s="579"/>
      <c r="V39" s="579"/>
      <c r="W39" s="579"/>
      <c r="X39" s="579"/>
      <c r="Y39" s="579"/>
      <c r="Z39" s="579"/>
      <c r="AA39" s="579"/>
    </row>
    <row r="40" spans="2:28" s="82" customFormat="1" ht="13.5" customHeight="1" outlineLevel="1">
      <c r="B40" s="615" t="str">
        <f>names!$A2403</f>
        <v xml:space="preserve"> Ukraina</v>
      </c>
      <c r="C40" s="653">
        <v>0</v>
      </c>
      <c r="D40" s="653">
        <v>0</v>
      </c>
      <c r="E40" s="643">
        <v>0</v>
      </c>
      <c r="F40" s="613">
        <v>2.6731199999999999</v>
      </c>
      <c r="G40" s="856">
        <v>2.6731199999999999</v>
      </c>
      <c r="H40" s="653">
        <v>0.09</v>
      </c>
      <c r="I40" s="653">
        <v>1.27</v>
      </c>
      <c r="J40" s="653">
        <v>4.08</v>
      </c>
      <c r="K40" s="643">
        <v>2.9</v>
      </c>
      <c r="L40" s="856">
        <f t="shared" si="13"/>
        <v>8.34</v>
      </c>
      <c r="M40" s="653">
        <v>0</v>
      </c>
      <c r="N40" s="653">
        <v>0</v>
      </c>
      <c r="O40" s="653">
        <v>0</v>
      </c>
      <c r="P40" s="643">
        <v>0</v>
      </c>
      <c r="Q40" s="661">
        <f t="shared" si="15"/>
        <v>0</v>
      </c>
      <c r="S40" s="579"/>
      <c r="T40" s="579"/>
      <c r="U40" s="579"/>
      <c r="V40" s="579"/>
      <c r="W40" s="579"/>
      <c r="X40" s="579"/>
      <c r="Y40" s="579"/>
      <c r="Z40" s="579"/>
      <c r="AA40" s="579"/>
    </row>
    <row r="41" spans="2:28" s="82" customFormat="1" ht="13.5" customHeight="1" outlineLevel="1">
      <c r="B41" s="614" t="str">
        <f>names!$A2404</f>
        <v xml:space="preserve">   - LNG łącznie, w tym:</v>
      </c>
      <c r="C41" s="653">
        <v>16.733793187242465</v>
      </c>
      <c r="D41" s="653">
        <v>16.600370892000001</v>
      </c>
      <c r="E41" s="643">
        <v>18.152965677000001</v>
      </c>
      <c r="F41" s="613">
        <v>19.646170819999998</v>
      </c>
      <c r="G41" s="856">
        <v>71.133300576242462</v>
      </c>
      <c r="H41" s="653">
        <v>12.92</v>
      </c>
      <c r="I41" s="653">
        <v>18.600000000000001</v>
      </c>
      <c r="J41" s="653">
        <v>18.96</v>
      </c>
      <c r="K41" s="643">
        <v>19.75</v>
      </c>
      <c r="L41" s="856">
        <f t="shared" si="13"/>
        <v>70.23</v>
      </c>
      <c r="M41" s="653">
        <v>22.33</v>
      </c>
      <c r="N41" s="653">
        <v>21.37</v>
      </c>
      <c r="O41" s="653">
        <v>23.9</v>
      </c>
      <c r="P41" s="643">
        <v>23.99</v>
      </c>
      <c r="Q41" s="661">
        <f t="shared" si="15"/>
        <v>91.59</v>
      </c>
      <c r="S41" s="579"/>
      <c r="T41" s="579"/>
      <c r="U41" s="579"/>
      <c r="V41" s="579"/>
      <c r="W41" s="579"/>
      <c r="X41" s="579"/>
      <c r="Y41" s="579"/>
      <c r="Z41" s="579"/>
      <c r="AA41" s="579"/>
    </row>
    <row r="42" spans="2:28" s="82" customFormat="1" ht="13.5" customHeight="1" outlineLevel="1">
      <c r="B42" s="639" t="str">
        <f>names!$A2405</f>
        <v xml:space="preserve">   - LNG (kontrakty bazujące na Henry hub)</v>
      </c>
      <c r="C42" s="653">
        <v>4.24</v>
      </c>
      <c r="D42" s="653">
        <v>6.37497661</v>
      </c>
      <c r="E42" s="643">
        <v>4.2300000000000004</v>
      </c>
      <c r="F42" s="613">
        <v>4.2421944979999999</v>
      </c>
      <c r="G42" s="856">
        <v>19.087171108</v>
      </c>
      <c r="H42" s="653">
        <v>5.24</v>
      </c>
      <c r="I42" s="653">
        <v>5.24</v>
      </c>
      <c r="J42" s="653">
        <v>4.34</v>
      </c>
      <c r="K42" s="643">
        <v>6.29</v>
      </c>
      <c r="L42" s="856">
        <f t="shared" si="13"/>
        <v>21.11</v>
      </c>
      <c r="M42" s="653">
        <v>4.18</v>
      </c>
      <c r="N42" s="653">
        <v>8.61</v>
      </c>
      <c r="O42" s="653">
        <v>11.6</v>
      </c>
      <c r="P42" s="643">
        <v>10.130000000000001</v>
      </c>
      <c r="Q42" s="661">
        <f t="shared" si="15"/>
        <v>34.519999999999996</v>
      </c>
      <c r="S42" s="579"/>
      <c r="T42" s="579"/>
      <c r="U42" s="579"/>
      <c r="V42" s="579"/>
      <c r="W42" s="579"/>
      <c r="X42" s="579"/>
      <c r="Y42" s="579"/>
      <c r="Z42" s="579"/>
      <c r="AA42" s="579"/>
    </row>
    <row r="43" spans="2:28" s="82" customFormat="1" ht="13.5" customHeight="1" outlineLevel="1">
      <c r="B43" s="614" t="str">
        <f>names!$A2406</f>
        <v xml:space="preserve">   - Interkonektory</v>
      </c>
      <c r="C43" s="653">
        <v>15.147430999999999</v>
      </c>
      <c r="D43" s="653">
        <v>18.300789999999999</v>
      </c>
      <c r="E43" s="643">
        <v>25.644755</v>
      </c>
      <c r="F43" s="613">
        <v>19.193172175000001</v>
      </c>
      <c r="G43" s="856">
        <v>78.286148174999994</v>
      </c>
      <c r="H43" s="653">
        <v>15.09</v>
      </c>
      <c r="I43" s="653">
        <v>18.89</v>
      </c>
      <c r="J43" s="653">
        <v>15.15</v>
      </c>
      <c r="K43" s="643">
        <v>22.13</v>
      </c>
      <c r="L43" s="856">
        <f t="shared" si="13"/>
        <v>71.260000000000005</v>
      </c>
      <c r="M43" s="653">
        <v>20.420000000000002</v>
      </c>
      <c r="N43" s="653">
        <v>20.190000000000001</v>
      </c>
      <c r="O43" s="653">
        <v>24.4</v>
      </c>
      <c r="P43" s="643">
        <v>32.21</v>
      </c>
      <c r="Q43" s="661">
        <f t="shared" si="15"/>
        <v>97.22</v>
      </c>
      <c r="S43" s="579"/>
      <c r="T43" s="579"/>
      <c r="U43" s="579"/>
      <c r="V43" s="579"/>
      <c r="W43" s="579"/>
      <c r="X43" s="579"/>
      <c r="Y43" s="579"/>
      <c r="Z43" s="579"/>
      <c r="AA43" s="579"/>
    </row>
    <row r="44" spans="2:28" s="82" customFormat="1" ht="13.5" customHeight="1">
      <c r="B44" s="623" t="str">
        <f>names!$A2407</f>
        <v>Sprzedaż poza Grupę ORLEN (TWh)</v>
      </c>
      <c r="C44" s="652">
        <v>98.184687725023991</v>
      </c>
      <c r="D44" s="652">
        <v>57.901862837679005</v>
      </c>
      <c r="E44" s="652">
        <v>53.886007805635998</v>
      </c>
      <c r="F44" s="652">
        <v>86.172911933723</v>
      </c>
      <c r="G44" s="860">
        <v>296.14547030206199</v>
      </c>
      <c r="H44" s="652">
        <f>H45+H48+H51</f>
        <v>96.28</v>
      </c>
      <c r="I44" s="652">
        <f t="shared" ref="I44:K44" si="16">I45+I48+I51</f>
        <v>60.36</v>
      </c>
      <c r="J44" s="652">
        <f t="shared" si="16"/>
        <v>56.319999999999993</v>
      </c>
      <c r="K44" s="652">
        <f t="shared" si="16"/>
        <v>90.07</v>
      </c>
      <c r="L44" s="860">
        <f t="shared" si="13"/>
        <v>303.02999999999997</v>
      </c>
      <c r="M44" s="652">
        <f>M45+M48+M51</f>
        <v>108.9</v>
      </c>
      <c r="N44" s="652">
        <f t="shared" ref="N44:P44" si="17">N45+N48+N51</f>
        <v>72</v>
      </c>
      <c r="O44" s="652">
        <f t="shared" si="17"/>
        <v>62.849999999999994</v>
      </c>
      <c r="P44" s="652">
        <f t="shared" si="17"/>
        <v>116.96000000000001</v>
      </c>
      <c r="Q44" s="794">
        <f t="shared" si="15"/>
        <v>360.71000000000004</v>
      </c>
      <c r="S44" s="579"/>
      <c r="T44" s="579"/>
      <c r="U44" s="579"/>
      <c r="V44" s="579"/>
      <c r="W44" s="579"/>
      <c r="X44" s="579"/>
      <c r="Y44" s="579"/>
      <c r="Z44" s="579"/>
    </row>
    <row r="45" spans="2:28" s="82" customFormat="1" ht="13.5" customHeight="1" outlineLevel="1">
      <c r="B45" s="614" t="str">
        <f>names!$A2408</f>
        <v xml:space="preserve"> - ORLEN S.A., Oddział Centralny PGNiG:</v>
      </c>
      <c r="C45" s="653">
        <v>49.207364453699988</v>
      </c>
      <c r="D45" s="653">
        <v>27.9979600964</v>
      </c>
      <c r="E45" s="643">
        <v>28.212975360400002</v>
      </c>
      <c r="F45" s="613">
        <v>47.989167845499999</v>
      </c>
      <c r="G45" s="856">
        <v>153.40746775599999</v>
      </c>
      <c r="H45" s="653">
        <v>52.12</v>
      </c>
      <c r="I45" s="653">
        <v>34.43</v>
      </c>
      <c r="J45" s="643">
        <v>32.72</v>
      </c>
      <c r="K45" s="643">
        <v>50.57</v>
      </c>
      <c r="L45" s="856">
        <f t="shared" si="13"/>
        <v>169.84</v>
      </c>
      <c r="M45" s="653">
        <v>60.09</v>
      </c>
      <c r="N45" s="653">
        <v>40.32</v>
      </c>
      <c r="O45" s="643">
        <v>40</v>
      </c>
      <c r="P45" s="643">
        <v>62.71</v>
      </c>
      <c r="Q45" s="661">
        <f t="shared" si="15"/>
        <v>203.12</v>
      </c>
      <c r="S45" s="579"/>
      <c r="T45" s="579"/>
      <c r="U45" s="579"/>
      <c r="V45" s="579"/>
      <c r="W45" s="579"/>
      <c r="X45" s="579"/>
      <c r="Y45" s="579"/>
      <c r="Z45" s="579"/>
      <c r="AA45" s="579"/>
      <c r="AB45" s="579"/>
    </row>
    <row r="46" spans="2:28" s="82" customFormat="1" ht="13.5" customHeight="1" outlineLevel="1">
      <c r="B46" s="615" t="str">
        <f>names!$A2409</f>
        <v>Towarowa Giełda Energii</v>
      </c>
      <c r="C46" s="653">
        <v>41.638421999999998</v>
      </c>
      <c r="D46" s="653">
        <v>21.321228999999999</v>
      </c>
      <c r="E46" s="643">
        <v>18.798866</v>
      </c>
      <c r="F46" s="613">
        <v>34.982467</v>
      </c>
      <c r="G46" s="856">
        <v>116.740984</v>
      </c>
      <c r="H46" s="653">
        <v>36.49</v>
      </c>
      <c r="I46" s="653">
        <v>18.739999999999998</v>
      </c>
      <c r="J46" s="643">
        <v>16.16</v>
      </c>
      <c r="K46" s="643">
        <v>32.479999999999997</v>
      </c>
      <c r="L46" s="856">
        <f t="shared" si="13"/>
        <v>103.87</v>
      </c>
      <c r="M46" s="653">
        <v>41.73</v>
      </c>
      <c r="N46" s="653">
        <v>23.07</v>
      </c>
      <c r="O46" s="643">
        <v>22.79</v>
      </c>
      <c r="P46" s="643">
        <v>42.67</v>
      </c>
      <c r="Q46" s="661">
        <f t="shared" si="15"/>
        <v>130.26</v>
      </c>
      <c r="S46" s="579"/>
      <c r="T46" s="579"/>
      <c r="U46" s="579"/>
      <c r="V46" s="579"/>
      <c r="W46" s="579"/>
      <c r="X46" s="579"/>
      <c r="Y46" s="579"/>
      <c r="Z46" s="579"/>
      <c r="AA46" s="579"/>
    </row>
    <row r="47" spans="2:28" s="82" customFormat="1" ht="13.5" customHeight="1" outlineLevel="1">
      <c r="B47" s="615" t="str">
        <f>names!$A2410</f>
        <v>Dla przemysłu</v>
      </c>
      <c r="C47" s="653">
        <v>7.5689424536999974</v>
      </c>
      <c r="D47" s="653">
        <v>6.6767310963999984</v>
      </c>
      <c r="E47" s="643">
        <v>9.4141093603999995</v>
      </c>
      <c r="F47" s="613">
        <v>13.006700845499997</v>
      </c>
      <c r="G47" s="856">
        <v>36.666483755999991</v>
      </c>
      <c r="H47" s="653">
        <v>15.64</v>
      </c>
      <c r="I47" s="653">
        <v>15.69</v>
      </c>
      <c r="J47" s="643">
        <v>16.559999999999999</v>
      </c>
      <c r="K47" s="643">
        <v>18.09</v>
      </c>
      <c r="L47" s="856">
        <f t="shared" si="13"/>
        <v>65.97999999999999</v>
      </c>
      <c r="M47" s="653">
        <v>18.37</v>
      </c>
      <c r="N47" s="653">
        <v>17.239999999999998</v>
      </c>
      <c r="O47" s="643">
        <v>17.21</v>
      </c>
      <c r="P47" s="643">
        <v>20.05</v>
      </c>
      <c r="Q47" s="661">
        <f t="shared" si="15"/>
        <v>72.87</v>
      </c>
      <c r="S47" s="579"/>
      <c r="T47" s="579"/>
      <c r="U47" s="579"/>
      <c r="V47" s="579"/>
      <c r="W47" s="579"/>
      <c r="X47" s="579"/>
      <c r="Y47" s="579"/>
      <c r="Z47" s="579"/>
      <c r="AA47" s="579"/>
    </row>
    <row r="48" spans="2:28" s="82" customFormat="1" ht="13.5" customHeight="1" outlineLevel="1">
      <c r="B48" s="616" t="str">
        <f>names!$A2411</f>
        <v xml:space="preserve"> - PGNiG Obrót Detaliczny</v>
      </c>
      <c r="C48" s="653">
        <v>36.113268855994001</v>
      </c>
      <c r="D48" s="653">
        <v>18.228722847</v>
      </c>
      <c r="E48" s="643">
        <v>11.932036332999999</v>
      </c>
      <c r="F48" s="613">
        <v>30.514609654000001</v>
      </c>
      <c r="G48" s="856">
        <v>96.788637689994005</v>
      </c>
      <c r="H48" s="653">
        <v>35.15</v>
      </c>
      <c r="I48" s="653">
        <v>17.02</v>
      </c>
      <c r="J48" s="643">
        <v>12.37</v>
      </c>
      <c r="K48" s="643">
        <v>31.5</v>
      </c>
      <c r="L48" s="856">
        <f t="shared" si="13"/>
        <v>96.039999999999992</v>
      </c>
      <c r="M48" s="653">
        <v>36.049999999999997</v>
      </c>
      <c r="N48" s="653">
        <v>18.16</v>
      </c>
      <c r="O48" s="643">
        <v>13.01</v>
      </c>
      <c r="P48" s="643">
        <v>32.75</v>
      </c>
      <c r="Q48" s="661">
        <f t="shared" si="15"/>
        <v>99.97</v>
      </c>
      <c r="S48" s="579"/>
      <c r="T48" s="579"/>
      <c r="U48" s="579"/>
      <c r="V48" s="579"/>
      <c r="W48" s="579"/>
      <c r="X48" s="579"/>
      <c r="Y48" s="579"/>
      <c r="Z48" s="579"/>
      <c r="AA48" s="579"/>
    </row>
    <row r="49" spans="2:27" s="82" customFormat="1" ht="13.5" customHeight="1" outlineLevel="1">
      <c r="B49" s="615" t="str">
        <f>names!$A2412</f>
        <v xml:space="preserve"> PGNIG OD Taryfowy</v>
      </c>
      <c r="C49" s="653">
        <v>21.907363097000001</v>
      </c>
      <c r="D49" s="653">
        <v>9.7073696920000003</v>
      </c>
      <c r="E49" s="643">
        <v>4.7603456</v>
      </c>
      <c r="F49" s="613">
        <v>18.194208023000002</v>
      </c>
      <c r="G49" s="856">
        <v>54.569286412000004</v>
      </c>
      <c r="H49" s="653">
        <v>22.77</v>
      </c>
      <c r="I49" s="653">
        <v>8.7899999999999991</v>
      </c>
      <c r="J49" s="643">
        <v>5.58</v>
      </c>
      <c r="K49" s="643">
        <v>19.8</v>
      </c>
      <c r="L49" s="856">
        <f t="shared" si="13"/>
        <v>56.94</v>
      </c>
      <c r="M49" s="653">
        <v>23.47</v>
      </c>
      <c r="N49" s="653">
        <v>9.8699999999999992</v>
      </c>
      <c r="O49" s="643">
        <v>6.11</v>
      </c>
      <c r="P49" s="643">
        <v>20.14</v>
      </c>
      <c r="Q49" s="661">
        <f t="shared" si="15"/>
        <v>59.589999999999996</v>
      </c>
      <c r="S49" s="579"/>
      <c r="T49" s="579"/>
      <c r="U49" s="579"/>
      <c r="V49" s="579"/>
      <c r="W49" s="579"/>
      <c r="X49" s="579"/>
      <c r="Y49" s="579"/>
      <c r="Z49" s="579"/>
      <c r="AA49" s="579"/>
    </row>
    <row r="50" spans="2:27" s="82" customFormat="1" ht="13.5" customHeight="1" outlineLevel="1">
      <c r="B50" s="615" t="str">
        <f>names!$A2413</f>
        <v>PGNiG OD Nie-taryfowy</v>
      </c>
      <c r="C50" s="653">
        <v>14.205905758994</v>
      </c>
      <c r="D50" s="653">
        <v>8.5213531549999981</v>
      </c>
      <c r="E50" s="643">
        <v>7.1716907330000002</v>
      </c>
      <c r="F50" s="613">
        <v>12.320401631000006</v>
      </c>
      <c r="G50" s="856">
        <v>42.219351277994008</v>
      </c>
      <c r="H50" s="653">
        <v>12.38</v>
      </c>
      <c r="I50" s="653">
        <v>8.24</v>
      </c>
      <c r="J50" s="643">
        <v>6.79</v>
      </c>
      <c r="K50" s="643">
        <v>11.7</v>
      </c>
      <c r="L50" s="856">
        <f t="shared" si="13"/>
        <v>39.11</v>
      </c>
      <c r="M50" s="653">
        <v>12.59</v>
      </c>
      <c r="N50" s="653">
        <v>8.3000000000000007</v>
      </c>
      <c r="O50" s="643">
        <v>6.9</v>
      </c>
      <c r="P50" s="643">
        <v>12.61</v>
      </c>
      <c r="Q50" s="661">
        <f t="shared" si="15"/>
        <v>40.4</v>
      </c>
      <c r="S50" s="579"/>
      <c r="T50" s="579"/>
      <c r="U50" s="579"/>
      <c r="V50" s="579"/>
      <c r="W50" s="579"/>
      <c r="X50" s="579"/>
      <c r="Y50" s="579"/>
      <c r="Z50" s="579"/>
      <c r="AA50" s="579"/>
    </row>
    <row r="51" spans="2:27" s="82" customFormat="1" ht="13.5" customHeight="1" outlineLevel="1">
      <c r="B51" s="616" t="str">
        <f>names!$A2414</f>
        <v xml:space="preserve"> - PGNiG Supply &amp; Trading </v>
      </c>
      <c r="C51" s="653">
        <v>12.864054415329999</v>
      </c>
      <c r="D51" s="653">
        <v>11.675179894279001</v>
      </c>
      <c r="E51" s="643">
        <v>13.740996112236001</v>
      </c>
      <c r="F51" s="613">
        <v>7.6691344342229995</v>
      </c>
      <c r="G51" s="856">
        <v>45.949364856068001</v>
      </c>
      <c r="H51" s="653">
        <v>9.01</v>
      </c>
      <c r="I51" s="653">
        <v>8.91</v>
      </c>
      <c r="J51" s="643">
        <v>11.23</v>
      </c>
      <c r="K51" s="643">
        <v>8</v>
      </c>
      <c r="L51" s="856">
        <f t="shared" si="13"/>
        <v>37.15</v>
      </c>
      <c r="M51" s="653">
        <v>12.76</v>
      </c>
      <c r="N51" s="653">
        <v>13.52</v>
      </c>
      <c r="O51" s="643">
        <v>9.84</v>
      </c>
      <c r="P51" s="643">
        <v>21.5</v>
      </c>
      <c r="Q51" s="661">
        <f t="shared" si="15"/>
        <v>57.62</v>
      </c>
      <c r="S51" s="579"/>
      <c r="T51" s="579"/>
      <c r="U51" s="579"/>
      <c r="V51" s="579"/>
      <c r="W51" s="579"/>
      <c r="X51" s="579"/>
      <c r="Y51" s="579"/>
      <c r="Z51" s="579"/>
      <c r="AA51" s="579"/>
    </row>
    <row r="52" spans="2:27" s="82" customFormat="1" ht="13.5" customHeight="1">
      <c r="B52" s="623" t="str">
        <f>names!$A2415</f>
        <v>Sprzedaż wewnętrz Grupy ORLEN (TWh)</v>
      </c>
      <c r="C52" s="652">
        <v>28.004964551299999</v>
      </c>
      <c r="D52" s="652">
        <v>29.3179122996</v>
      </c>
      <c r="E52" s="652">
        <v>33.516286474600001</v>
      </c>
      <c r="F52" s="652">
        <v>33.251316541500003</v>
      </c>
      <c r="G52" s="860">
        <v>124.09047986700001</v>
      </c>
      <c r="H52" s="652">
        <v>26.695953030599998</v>
      </c>
      <c r="I52" s="652">
        <v>28.669755706699998</v>
      </c>
      <c r="J52" s="652">
        <v>27.709394063900003</v>
      </c>
      <c r="K52" s="652">
        <v>34.305180261300002</v>
      </c>
      <c r="L52" s="860">
        <f t="shared" si="13"/>
        <v>117.3802830625</v>
      </c>
      <c r="M52" s="652">
        <f>SUM(M53:M56)</f>
        <v>31.229999999999997</v>
      </c>
      <c r="N52" s="652">
        <f t="shared" ref="N52:P52" si="18">SUM(N53:N56)</f>
        <v>29.830000000000002</v>
      </c>
      <c r="O52" s="652">
        <f t="shared" si="18"/>
        <v>33.15</v>
      </c>
      <c r="P52" s="652">
        <f t="shared" si="18"/>
        <v>47.71</v>
      </c>
      <c r="Q52" s="794">
        <f t="shared" si="15"/>
        <v>141.91999999999999</v>
      </c>
      <c r="S52" s="579"/>
      <c r="T52" s="579"/>
      <c r="U52" s="579"/>
      <c r="V52" s="579"/>
      <c r="W52" s="579"/>
      <c r="X52" s="579"/>
      <c r="Y52" s="579"/>
      <c r="Z52" s="579"/>
    </row>
    <row r="53" spans="2:27" s="82" customFormat="1" ht="13.5" customHeight="1">
      <c r="B53" s="614" t="str">
        <f>names!$A2416</f>
        <v>do segmentu Upstream &amp; Supply</v>
      </c>
      <c r="C53" s="855" t="s">
        <v>657</v>
      </c>
      <c r="D53" s="855" t="s">
        <v>657</v>
      </c>
      <c r="E53" s="855" t="s">
        <v>657</v>
      </c>
      <c r="F53" s="855" t="s">
        <v>657</v>
      </c>
      <c r="G53" s="864" t="s">
        <v>657</v>
      </c>
      <c r="H53" s="855" t="s">
        <v>657</v>
      </c>
      <c r="I53" s="855" t="s">
        <v>657</v>
      </c>
      <c r="J53" s="855" t="s">
        <v>657</v>
      </c>
      <c r="K53" s="855" t="s">
        <v>657</v>
      </c>
      <c r="L53" s="864" t="s">
        <v>657</v>
      </c>
      <c r="M53" s="643">
        <v>20.399999999999999</v>
      </c>
      <c r="N53" s="643">
        <v>21.04</v>
      </c>
      <c r="O53" s="643">
        <v>23.69</v>
      </c>
      <c r="P53" s="643">
        <v>34.82</v>
      </c>
      <c r="Q53" s="661">
        <f t="shared" si="15"/>
        <v>99.950000000000017</v>
      </c>
      <c r="S53" s="579"/>
      <c r="T53" s="579"/>
      <c r="U53" s="579"/>
      <c r="V53" s="579"/>
      <c r="W53" s="579"/>
      <c r="X53" s="579"/>
      <c r="Y53" s="579"/>
      <c r="Z53" s="579"/>
    </row>
    <row r="54" spans="2:27" s="82" customFormat="1" ht="13.5" customHeight="1">
      <c r="B54" s="614" t="str">
        <f>names!$A2417</f>
        <v>do segmentu Downstream</v>
      </c>
      <c r="C54" s="855" t="s">
        <v>657</v>
      </c>
      <c r="D54" s="855" t="s">
        <v>657</v>
      </c>
      <c r="E54" s="855" t="s">
        <v>657</v>
      </c>
      <c r="F54" s="855" t="s">
        <v>657</v>
      </c>
      <c r="G54" s="864" t="s">
        <v>657</v>
      </c>
      <c r="H54" s="855" t="s">
        <v>657</v>
      </c>
      <c r="I54" s="855" t="s">
        <v>657</v>
      </c>
      <c r="J54" s="855" t="s">
        <v>657</v>
      </c>
      <c r="K54" s="855" t="s">
        <v>657</v>
      </c>
      <c r="L54" s="864" t="s">
        <v>657</v>
      </c>
      <c r="M54" s="643">
        <v>5.87</v>
      </c>
      <c r="N54" s="643">
        <v>5.55</v>
      </c>
      <c r="O54" s="643">
        <v>7.74</v>
      </c>
      <c r="P54" s="643">
        <v>7.74</v>
      </c>
      <c r="Q54" s="661">
        <f t="shared" si="15"/>
        <v>26.900000000000002</v>
      </c>
      <c r="S54" s="579"/>
      <c r="T54" s="579"/>
      <c r="U54" s="579"/>
      <c r="V54" s="579"/>
      <c r="W54" s="579"/>
      <c r="X54" s="579"/>
      <c r="Y54" s="579"/>
      <c r="Z54" s="579"/>
    </row>
    <row r="55" spans="2:27" s="82" customFormat="1" ht="13.5" customHeight="1">
      <c r="B55" s="614" t="str">
        <f>names!$A2418</f>
        <v>do segmentu Energy</v>
      </c>
      <c r="C55" s="855" t="s">
        <v>657</v>
      </c>
      <c r="D55" s="855" t="s">
        <v>657</v>
      </c>
      <c r="E55" s="855" t="s">
        <v>657</v>
      </c>
      <c r="F55" s="855" t="s">
        <v>657</v>
      </c>
      <c r="G55" s="864" t="s">
        <v>657</v>
      </c>
      <c r="H55" s="855" t="s">
        <v>657</v>
      </c>
      <c r="I55" s="855" t="s">
        <v>657</v>
      </c>
      <c r="J55" s="855" t="s">
        <v>657</v>
      </c>
      <c r="K55" s="855" t="s">
        <v>657</v>
      </c>
      <c r="L55" s="864" t="s">
        <v>657</v>
      </c>
      <c r="M55" s="643">
        <v>2.38</v>
      </c>
      <c r="N55" s="643">
        <v>1.76</v>
      </c>
      <c r="O55" s="643">
        <v>0.55000000000000004</v>
      </c>
      <c r="P55" s="643">
        <v>2.57</v>
      </c>
      <c r="Q55" s="661">
        <f t="shared" si="15"/>
        <v>7.26</v>
      </c>
      <c r="S55" s="579"/>
      <c r="T55" s="579"/>
      <c r="U55" s="579"/>
      <c r="V55" s="579"/>
      <c r="W55" s="579"/>
      <c r="X55" s="579"/>
      <c r="Y55" s="579"/>
      <c r="Z55" s="579"/>
    </row>
    <row r="56" spans="2:27" s="82" customFormat="1" ht="13.5" customHeight="1">
      <c r="B56" s="614" t="str">
        <f>names!$A2419</f>
        <v>do segmentu Consumer &amp; Products</v>
      </c>
      <c r="C56" s="855" t="s">
        <v>657</v>
      </c>
      <c r="D56" s="855" t="s">
        <v>657</v>
      </c>
      <c r="E56" s="855" t="s">
        <v>657</v>
      </c>
      <c r="F56" s="855" t="s">
        <v>657</v>
      </c>
      <c r="G56" s="864" t="s">
        <v>657</v>
      </c>
      <c r="H56" s="855" t="s">
        <v>657</v>
      </c>
      <c r="I56" s="855" t="s">
        <v>657</v>
      </c>
      <c r="J56" s="855" t="s">
        <v>657</v>
      </c>
      <c r="K56" s="855" t="s">
        <v>657</v>
      </c>
      <c r="L56" s="864" t="s">
        <v>657</v>
      </c>
      <c r="M56" s="643">
        <v>2.58</v>
      </c>
      <c r="N56" s="643">
        <v>1.48</v>
      </c>
      <c r="O56" s="643">
        <v>1.17</v>
      </c>
      <c r="P56" s="643">
        <v>2.58</v>
      </c>
      <c r="Q56" s="661">
        <f t="shared" si="15"/>
        <v>7.8100000000000005</v>
      </c>
      <c r="S56" s="579"/>
      <c r="T56" s="579"/>
      <c r="U56" s="579"/>
      <c r="V56" s="579"/>
      <c r="W56" s="579"/>
      <c r="X56" s="579"/>
      <c r="Y56" s="579"/>
      <c r="Z56" s="579"/>
    </row>
    <row r="57" spans="2:27" s="82" customFormat="1" ht="13.5" customHeight="1">
      <c r="B57" s="623" t="str">
        <f>names!$A2420</f>
        <v>Wolumen dystrybucji gazów (TWh)</v>
      </c>
      <c r="C57" s="652">
        <v>44.558001055999995</v>
      </c>
      <c r="D57" s="652">
        <v>26.230907971000001</v>
      </c>
      <c r="E57" s="652">
        <v>19.504341022000002</v>
      </c>
      <c r="F57" s="652">
        <v>40.012387113000003</v>
      </c>
      <c r="G57" s="860">
        <f>SUM(C57:F57)</f>
        <v>130.30563716199998</v>
      </c>
      <c r="H57" s="652">
        <v>45.991658091999994</v>
      </c>
      <c r="I57" s="652">
        <v>25.156162525000003</v>
      </c>
      <c r="J57" s="652">
        <v>22.212140831000003</v>
      </c>
      <c r="K57" s="652">
        <v>43.859709719000008</v>
      </c>
      <c r="L57" s="860">
        <f>SUM(H57:K57)</f>
        <v>137.219671167</v>
      </c>
      <c r="M57" s="652">
        <v>49.434913713999997</v>
      </c>
      <c r="N57" s="652">
        <v>27.789360965</v>
      </c>
      <c r="O57" s="652">
        <v>22.75188747</v>
      </c>
      <c r="P57" s="652">
        <v>45.409487488000003</v>
      </c>
      <c r="Q57" s="794">
        <f>SUM(M57:P57)</f>
        <v>145.385649637</v>
      </c>
      <c r="S57" s="579"/>
      <c r="T57" s="579"/>
      <c r="U57" s="579"/>
      <c r="V57" s="579"/>
      <c r="W57" s="579"/>
      <c r="X57" s="579"/>
      <c r="Y57" s="579"/>
      <c r="Z57" s="579"/>
    </row>
    <row r="58" spans="2:27" s="82" customFormat="1" ht="13.5" customHeight="1">
      <c r="B58" s="623" t="str">
        <f>names!$A2421</f>
        <v>Wypełnienie magazynów Grupa ORLEN (TWh)</v>
      </c>
      <c r="C58" s="652">
        <v>13.352695002999999</v>
      </c>
      <c r="D58" s="652">
        <v>18.959154837999996</v>
      </c>
      <c r="E58" s="652">
        <v>36.580292106999991</v>
      </c>
      <c r="F58" s="652">
        <v>32.963388111</v>
      </c>
      <c r="G58" s="860">
        <v>32.963388111</v>
      </c>
      <c r="H58" s="652">
        <v>8.5540736380000002</v>
      </c>
      <c r="I58" s="652">
        <v>16.979649469999998</v>
      </c>
      <c r="J58" s="652">
        <v>25.791580108000002</v>
      </c>
      <c r="K58" s="652">
        <v>23.470694355000003</v>
      </c>
      <c r="L58" s="860">
        <f>K58</f>
        <v>23.470694355000003</v>
      </c>
      <c r="M58" s="652">
        <v>7.32</v>
      </c>
      <c r="N58" s="652">
        <v>13.83</v>
      </c>
      <c r="O58" s="652">
        <v>29.72</v>
      </c>
      <c r="P58" s="652">
        <v>21.74</v>
      </c>
      <c r="Q58" s="794">
        <f>P58</f>
        <v>21.74</v>
      </c>
      <c r="S58" s="579"/>
      <c r="T58" s="579"/>
      <c r="U58" s="579"/>
      <c r="V58" s="579"/>
      <c r="W58" s="579"/>
      <c r="X58" s="579"/>
      <c r="Y58" s="579"/>
      <c r="Z58" s="579"/>
    </row>
    <row r="59" spans="2:27" s="82" customFormat="1" ht="13.15" customHeight="1" thickBot="1">
      <c r="B59" s="612"/>
      <c r="C59" s="612"/>
      <c r="D59" s="612"/>
      <c r="E59" s="612"/>
      <c r="F59" s="612"/>
      <c r="G59" s="862"/>
      <c r="H59" s="612"/>
      <c r="I59" s="612"/>
      <c r="J59" s="612"/>
      <c r="K59" s="612"/>
      <c r="L59" s="862"/>
      <c r="M59" s="612"/>
      <c r="N59" s="612"/>
      <c r="O59" s="612"/>
      <c r="P59" s="612"/>
      <c r="Q59" s="796"/>
      <c r="S59" s="579"/>
      <c r="T59" s="579"/>
      <c r="U59" s="579"/>
      <c r="V59" s="579"/>
      <c r="W59" s="579"/>
      <c r="X59" s="579"/>
      <c r="Y59" s="579"/>
      <c r="Z59" s="579"/>
    </row>
    <row r="60" spans="2:27" s="82" customFormat="1" ht="24" customHeight="1" thickBot="1">
      <c r="B60" s="626" t="str">
        <f>names!$A2423</f>
        <v>Dane operacyjne Energy</v>
      </c>
      <c r="C60" s="626"/>
      <c r="D60" s="626"/>
      <c r="E60" s="626"/>
      <c r="F60" s="626"/>
      <c r="G60" s="865"/>
      <c r="H60" s="626"/>
      <c r="I60" s="626"/>
      <c r="J60" s="626"/>
      <c r="K60" s="626"/>
      <c r="L60" s="865"/>
      <c r="M60" s="647"/>
      <c r="N60" s="647"/>
      <c r="O60" s="647"/>
      <c r="P60" s="647"/>
      <c r="Q60" s="647"/>
      <c r="S60" s="579"/>
      <c r="T60" s="579"/>
      <c r="U60" s="579"/>
      <c r="V60" s="579"/>
      <c r="W60" s="579"/>
      <c r="X60" s="579"/>
      <c r="Y60" s="579"/>
      <c r="Z60" s="579"/>
    </row>
    <row r="61" spans="2:27" s="82" customFormat="1" ht="13.15" customHeight="1" thickBot="1">
      <c r="B61" s="630"/>
      <c r="C61" s="630"/>
      <c r="D61" s="630"/>
      <c r="E61" s="630"/>
      <c r="F61" s="630"/>
      <c r="G61" s="866"/>
      <c r="H61" s="630"/>
      <c r="I61" s="630"/>
      <c r="J61" s="630"/>
      <c r="K61" s="630"/>
      <c r="L61" s="866"/>
      <c r="M61" s="649"/>
      <c r="N61" s="649"/>
      <c r="O61" s="649"/>
      <c r="P61" s="649"/>
      <c r="Q61" s="647"/>
      <c r="S61" s="579"/>
      <c r="T61" s="579"/>
      <c r="U61" s="579"/>
      <c r="V61" s="579"/>
      <c r="W61" s="579"/>
      <c r="X61" s="579"/>
      <c r="Y61" s="579"/>
      <c r="Z61" s="579"/>
    </row>
    <row r="62" spans="2:27" s="5" customFormat="1" ht="24" customHeight="1" thickBot="1">
      <c r="B62" s="619" t="str">
        <f>names!$A2425</f>
        <v>ENERGIA ELEKTRYCZNA</v>
      </c>
      <c r="C62" s="678"/>
      <c r="D62" s="678"/>
      <c r="E62" s="678"/>
      <c r="F62" s="678"/>
      <c r="G62" s="858"/>
      <c r="H62" s="678"/>
      <c r="I62" s="678"/>
      <c r="J62" s="678"/>
      <c r="K62" s="678"/>
      <c r="L62" s="858"/>
      <c r="M62" s="644"/>
      <c r="N62" s="644"/>
      <c r="O62" s="644"/>
      <c r="P62" s="644"/>
      <c r="Q62" s="644"/>
      <c r="S62" s="579"/>
      <c r="T62" s="579"/>
      <c r="U62" s="579"/>
      <c r="V62" s="579"/>
      <c r="W62" s="579"/>
      <c r="X62" s="579"/>
      <c r="Y62" s="579"/>
      <c r="Z62" s="579"/>
    </row>
    <row r="63" spans="2:27" s="5" customFormat="1" ht="13.15" customHeight="1">
      <c r="B63" s="628"/>
      <c r="C63" s="853"/>
      <c r="D63" s="853"/>
      <c r="E63" s="853"/>
      <c r="F63" s="853"/>
      <c r="G63" s="859"/>
      <c r="H63" s="853"/>
      <c r="I63" s="853"/>
      <c r="J63" s="853"/>
      <c r="K63" s="853"/>
      <c r="L63" s="859"/>
      <c r="M63" s="645"/>
      <c r="N63" s="645"/>
      <c r="O63" s="645"/>
      <c r="P63" s="645"/>
      <c r="Q63" s="793"/>
      <c r="S63" s="579"/>
      <c r="T63" s="579"/>
      <c r="U63" s="579"/>
      <c r="V63" s="579"/>
      <c r="W63" s="579"/>
      <c r="X63" s="579"/>
      <c r="Y63" s="579"/>
      <c r="Z63" s="579"/>
    </row>
    <row r="64" spans="2:27" s="82" customFormat="1" ht="13.5" customHeight="1">
      <c r="B64" s="623" t="str">
        <f>names!$A2427</f>
        <v>Moc zainstalowana (GWe)</v>
      </c>
      <c r="C64" s="652">
        <v>5.4218606349999998</v>
      </c>
      <c r="D64" s="652">
        <v>5.4285836350000007</v>
      </c>
      <c r="E64" s="652">
        <v>5.4376196350000008</v>
      </c>
      <c r="F64" s="652">
        <v>5.5310752700000005</v>
      </c>
      <c r="G64" s="860">
        <v>5.5310752700000005</v>
      </c>
      <c r="H64" s="652">
        <v>5.59561470352347</v>
      </c>
      <c r="I64" s="652">
        <v>5.6013830035234697</v>
      </c>
      <c r="J64" s="652">
        <v>5.64135329352347</v>
      </c>
      <c r="K64" s="652">
        <v>6.1462791185234709</v>
      </c>
      <c r="L64" s="860">
        <v>6.1462791185234709</v>
      </c>
      <c r="M64" s="652">
        <f>SUM(M65:M69)</f>
        <v>6.1586049999999997</v>
      </c>
      <c r="N64" s="652">
        <f t="shared" ref="N64:P64" si="19">SUM(N65:N69)</f>
        <v>6.24</v>
      </c>
      <c r="O64" s="652">
        <f t="shared" si="19"/>
        <v>6.24</v>
      </c>
      <c r="P64" s="652">
        <f t="shared" si="19"/>
        <v>6.3600000000000012</v>
      </c>
      <c r="Q64" s="794">
        <f>P64</f>
        <v>6.3600000000000012</v>
      </c>
      <c r="S64" s="579"/>
      <c r="T64" s="579"/>
      <c r="U64" s="579"/>
      <c r="V64" s="579"/>
      <c r="W64" s="579"/>
      <c r="X64" s="579"/>
      <c r="Y64" s="579"/>
      <c r="Z64" s="579"/>
    </row>
    <row r="65" spans="2:26" s="617" customFormat="1" ht="13.5" customHeight="1" outlineLevel="1">
      <c r="B65" s="618" t="str">
        <f>names!$A2428</f>
        <v xml:space="preserve">  OZE</v>
      </c>
      <c r="C65" s="643">
        <v>0.71514863500000003</v>
      </c>
      <c r="D65" s="643">
        <v>0.76619163499999998</v>
      </c>
      <c r="E65" s="643">
        <v>0.77282763500000007</v>
      </c>
      <c r="F65" s="643">
        <v>0.91812763500000016</v>
      </c>
      <c r="G65" s="856">
        <v>0.91812763500000016</v>
      </c>
      <c r="H65" s="643">
        <v>0.9841165999999999</v>
      </c>
      <c r="I65" s="643">
        <v>0.98988490000000007</v>
      </c>
      <c r="J65" s="643">
        <v>1.0297551900000004</v>
      </c>
      <c r="K65" s="643">
        <v>1.534067415</v>
      </c>
      <c r="L65" s="856">
        <v>1.534067415</v>
      </c>
      <c r="M65" s="643">
        <v>1.54</v>
      </c>
      <c r="N65" s="643">
        <v>1.62</v>
      </c>
      <c r="O65" s="643">
        <v>1.62</v>
      </c>
      <c r="P65" s="643">
        <v>1.72</v>
      </c>
      <c r="Q65" s="661">
        <f>P65</f>
        <v>1.72</v>
      </c>
      <c r="S65" s="579"/>
      <c r="T65" s="579"/>
      <c r="U65" s="579"/>
      <c r="V65" s="579"/>
      <c r="W65" s="579"/>
      <c r="X65" s="579"/>
      <c r="Y65" s="579"/>
      <c r="Z65" s="579"/>
    </row>
    <row r="66" spans="2:26" s="617" customFormat="1" ht="13.5" customHeight="1" outlineLevel="1">
      <c r="B66" s="618" t="str">
        <f>names!$A2429</f>
        <v xml:space="preserve">  Gaz</v>
      </c>
      <c r="C66" s="643">
        <v>1.9868739999999998</v>
      </c>
      <c r="D66" s="643">
        <v>1.991514</v>
      </c>
      <c r="E66" s="643">
        <v>1.9939139999999997</v>
      </c>
      <c r="F66" s="643">
        <v>1.996161635</v>
      </c>
      <c r="G66" s="856">
        <v>1.996161635</v>
      </c>
      <c r="H66" s="643">
        <v>1.99397686503873</v>
      </c>
      <c r="I66" s="643">
        <v>1.9939768650387295</v>
      </c>
      <c r="J66" s="643">
        <v>1.9939768650387295</v>
      </c>
      <c r="K66" s="643">
        <v>1.9965120155308131</v>
      </c>
      <c r="L66" s="856">
        <v>1.9965120155308131</v>
      </c>
      <c r="M66" s="643">
        <v>2</v>
      </c>
      <c r="N66" s="643">
        <v>2</v>
      </c>
      <c r="O66" s="643">
        <v>2</v>
      </c>
      <c r="P66" s="643">
        <v>2.02</v>
      </c>
      <c r="Q66" s="661">
        <f t="shared" ref="Q66:Q69" si="20">P66</f>
        <v>2.02</v>
      </c>
      <c r="S66" s="579"/>
      <c r="T66" s="579"/>
      <c r="U66" s="579"/>
      <c r="V66" s="579"/>
      <c r="W66" s="579"/>
      <c r="X66" s="579"/>
      <c r="Y66" s="579"/>
      <c r="Z66" s="579"/>
    </row>
    <row r="67" spans="2:26" s="617" customFormat="1" ht="13.5" customHeight="1" outlineLevel="1">
      <c r="B67" s="618" t="str">
        <f>names!$A2430</f>
        <v xml:space="preserve">  Olej opałowy</v>
      </c>
      <c r="C67" s="643">
        <v>0.70150000000000001</v>
      </c>
      <c r="D67" s="643">
        <v>0.70150000000000001</v>
      </c>
      <c r="E67" s="643">
        <v>0.70150000000000001</v>
      </c>
      <c r="F67" s="643">
        <v>0.64740799999999998</v>
      </c>
      <c r="G67" s="856">
        <v>0.64740799999999998</v>
      </c>
      <c r="H67" s="643">
        <v>0.64860799999999996</v>
      </c>
      <c r="I67" s="643">
        <v>0.64860800000000007</v>
      </c>
      <c r="J67" s="643">
        <v>0.64870800000000006</v>
      </c>
      <c r="K67" s="643">
        <v>0.65015800000000001</v>
      </c>
      <c r="L67" s="856">
        <v>0.65015800000000001</v>
      </c>
      <c r="M67" s="643">
        <v>0.65</v>
      </c>
      <c r="N67" s="643">
        <v>0.65</v>
      </c>
      <c r="O67" s="643">
        <v>0.65</v>
      </c>
      <c r="P67" s="643">
        <v>0.65</v>
      </c>
      <c r="Q67" s="661">
        <f t="shared" si="20"/>
        <v>0.65</v>
      </c>
      <c r="S67" s="579"/>
      <c r="T67" s="579"/>
      <c r="U67" s="579"/>
      <c r="V67" s="579"/>
      <c r="W67" s="579"/>
      <c r="X67" s="579"/>
      <c r="Y67" s="579"/>
      <c r="Z67" s="579"/>
    </row>
    <row r="68" spans="2:26" s="617" customFormat="1" ht="13.5" customHeight="1" outlineLevel="1">
      <c r="B68" s="618" t="str">
        <f>names!$A2431</f>
        <v xml:space="preserve">  Węgiel</v>
      </c>
      <c r="C68" s="643">
        <v>1.861388</v>
      </c>
      <c r="D68" s="643">
        <v>1.8124280000000002</v>
      </c>
      <c r="E68" s="643">
        <v>1.8124280000000002</v>
      </c>
      <c r="F68" s="643">
        <v>1.8124280000000002</v>
      </c>
      <c r="G68" s="856">
        <v>1.8124280000000002</v>
      </c>
      <c r="H68" s="643">
        <v>1.8119632384847406</v>
      </c>
      <c r="I68" s="643">
        <v>1.8119632384847402</v>
      </c>
      <c r="J68" s="643">
        <v>1.8119632384847402</v>
      </c>
      <c r="K68" s="643">
        <v>1.8069366879926578</v>
      </c>
      <c r="L68" s="856">
        <v>1.8069366879926578</v>
      </c>
      <c r="M68" s="643">
        <v>1.81</v>
      </c>
      <c r="N68" s="643">
        <v>1.81</v>
      </c>
      <c r="O68" s="643">
        <v>1.81</v>
      </c>
      <c r="P68" s="643">
        <v>1.81</v>
      </c>
      <c r="Q68" s="661">
        <f t="shared" si="20"/>
        <v>1.81</v>
      </c>
      <c r="S68" s="579"/>
      <c r="T68" s="579"/>
      <c r="U68" s="579"/>
      <c r="V68" s="579"/>
      <c r="W68" s="579"/>
      <c r="X68" s="579"/>
      <c r="Y68" s="579"/>
      <c r="Z68" s="579"/>
    </row>
    <row r="69" spans="2:26" s="617" customFormat="1" ht="13.5" customHeight="1" outlineLevel="1">
      <c r="B69" s="618" t="str">
        <f>names!$A2432</f>
        <v xml:space="preserve">  Pozostałe</v>
      </c>
      <c r="C69" s="643">
        <v>0.15694999999999998</v>
      </c>
      <c r="D69" s="643">
        <v>0.15694999999999998</v>
      </c>
      <c r="E69" s="643">
        <v>0.15694999999999998</v>
      </c>
      <c r="F69" s="643">
        <v>0.15694999999999998</v>
      </c>
      <c r="G69" s="856">
        <v>0.15694999999999998</v>
      </c>
      <c r="H69" s="643">
        <v>0.15694999999999998</v>
      </c>
      <c r="I69" s="643">
        <v>0.15694999999999998</v>
      </c>
      <c r="J69" s="643">
        <v>0.15694999999999998</v>
      </c>
      <c r="K69" s="643">
        <v>0.158605</v>
      </c>
      <c r="L69" s="856">
        <v>0.158605</v>
      </c>
      <c r="M69" s="643">
        <v>0.158605</v>
      </c>
      <c r="N69" s="643">
        <v>0.16</v>
      </c>
      <c r="O69" s="643">
        <v>0.16</v>
      </c>
      <c r="P69" s="643">
        <v>0.16</v>
      </c>
      <c r="Q69" s="661">
        <f t="shared" si="20"/>
        <v>0.16</v>
      </c>
      <c r="S69" s="579"/>
      <c r="T69" s="579"/>
      <c r="U69" s="579"/>
      <c r="V69" s="579"/>
      <c r="W69" s="579"/>
      <c r="X69" s="579"/>
      <c r="Y69" s="579"/>
      <c r="Z69" s="579"/>
    </row>
    <row r="70" spans="2:26" s="82" customFormat="1" ht="12.6" customHeight="1">
      <c r="B70" s="623" t="str">
        <f>names!$A2433</f>
        <v>Produkcja (TWh)</v>
      </c>
      <c r="C70" s="652">
        <v>4.9215960738963274</v>
      </c>
      <c r="D70" s="652">
        <v>3.5992781455089999</v>
      </c>
      <c r="E70" s="652">
        <v>3.1198297124722005</v>
      </c>
      <c r="F70" s="652">
        <v>5.3084235026701005</v>
      </c>
      <c r="G70" s="860">
        <v>16.949127434547627</v>
      </c>
      <c r="H70" s="652">
        <v>5.5379708028032368</v>
      </c>
      <c r="I70" s="652">
        <v>2.9877064680665004</v>
      </c>
      <c r="J70" s="652">
        <v>3.407896761068105</v>
      </c>
      <c r="K70" s="652">
        <v>4.8862634364642004</v>
      </c>
      <c r="L70" s="860">
        <v>16.819837468402042</v>
      </c>
      <c r="M70" s="652">
        <f>SUM(M71:M75)</f>
        <v>5.12</v>
      </c>
      <c r="N70" s="652">
        <f t="shared" ref="N70:P70" si="21">SUM(N71:N75)</f>
        <v>3.81</v>
      </c>
      <c r="O70" s="652">
        <f t="shared" si="21"/>
        <v>3.6699999999999995</v>
      </c>
      <c r="P70" s="652">
        <f t="shared" si="21"/>
        <v>5.76</v>
      </c>
      <c r="Q70" s="794">
        <f t="shared" ref="Q70:Q78" si="22">P70+O70+N70+M70</f>
        <v>18.36</v>
      </c>
      <c r="S70" s="579"/>
      <c r="T70" s="579"/>
      <c r="U70" s="579"/>
      <c r="V70" s="579"/>
      <c r="W70" s="579"/>
      <c r="X70" s="579"/>
      <c r="Y70" s="579"/>
      <c r="Z70" s="579"/>
    </row>
    <row r="71" spans="2:26" s="617" customFormat="1" ht="13.5" customHeight="1" outlineLevel="1">
      <c r="B71" s="618" t="str">
        <f>names!$A2434</f>
        <v xml:space="preserve">  OZE</v>
      </c>
      <c r="C71" s="643">
        <v>0.68808143023310708</v>
      </c>
      <c r="D71" s="643">
        <v>0.43559285190339214</v>
      </c>
      <c r="E71" s="643">
        <v>0.34234984132041169</v>
      </c>
      <c r="F71" s="643">
        <v>0.70593583780034508</v>
      </c>
      <c r="G71" s="856">
        <v>2.1719599612572562</v>
      </c>
      <c r="H71" s="643">
        <v>0.89739157507469236</v>
      </c>
      <c r="I71" s="643">
        <v>0.53442851555839999</v>
      </c>
      <c r="J71" s="643">
        <v>0.43415520534530483</v>
      </c>
      <c r="K71" s="643">
        <v>0.5766646027547182</v>
      </c>
      <c r="L71" s="856">
        <v>2.4426398987331153</v>
      </c>
      <c r="M71" s="643">
        <v>0.73</v>
      </c>
      <c r="N71" s="643">
        <v>0.76</v>
      </c>
      <c r="O71" s="643">
        <v>0.63</v>
      </c>
      <c r="P71" s="643">
        <v>0.77</v>
      </c>
      <c r="Q71" s="661">
        <f t="shared" si="22"/>
        <v>2.89</v>
      </c>
      <c r="S71" s="579"/>
      <c r="T71" s="579"/>
      <c r="U71" s="579"/>
      <c r="V71" s="579"/>
      <c r="W71" s="579"/>
      <c r="X71" s="579"/>
      <c r="Y71" s="579"/>
      <c r="Z71" s="579"/>
    </row>
    <row r="72" spans="2:26" s="617" customFormat="1" ht="13.5" customHeight="1" outlineLevel="1">
      <c r="B72" s="618" t="str">
        <f>names!$A2435</f>
        <v xml:space="preserve">  Gaz</v>
      </c>
      <c r="C72" s="643">
        <v>2.2045913048163861</v>
      </c>
      <c r="D72" s="643">
        <v>1.8804765111873596</v>
      </c>
      <c r="E72" s="643">
        <v>1.6503303670423706</v>
      </c>
      <c r="F72" s="643">
        <v>2.6536893529056109</v>
      </c>
      <c r="G72" s="856">
        <v>8.3890875359517274</v>
      </c>
      <c r="H72" s="643">
        <v>2.8076744125825561</v>
      </c>
      <c r="I72" s="643">
        <v>1.4630921696320776</v>
      </c>
      <c r="J72" s="643">
        <v>2.2183370040791557</v>
      </c>
      <c r="K72" s="643">
        <v>2.8088053836020457</v>
      </c>
      <c r="L72" s="856">
        <v>9.2979089698958362</v>
      </c>
      <c r="M72" s="643">
        <v>2.39</v>
      </c>
      <c r="N72" s="643">
        <v>1.97</v>
      </c>
      <c r="O72" s="643">
        <v>2.0499999999999998</v>
      </c>
      <c r="P72" s="643">
        <v>3.18</v>
      </c>
      <c r="Q72" s="661">
        <f t="shared" si="22"/>
        <v>9.59</v>
      </c>
      <c r="S72" s="579"/>
      <c r="T72" s="579"/>
      <c r="U72" s="579"/>
      <c r="V72" s="579"/>
      <c r="W72" s="579"/>
      <c r="X72" s="579"/>
      <c r="Y72" s="579"/>
      <c r="Z72" s="579"/>
    </row>
    <row r="73" spans="2:26" s="617" customFormat="1" ht="13.5" customHeight="1" outlineLevel="1">
      <c r="B73" s="618" t="str">
        <f>names!$A2436</f>
        <v xml:space="preserve">  Wielopaliwowe, głównie olej opałowy</v>
      </c>
      <c r="C73" s="643">
        <v>0.37067614655754649</v>
      </c>
      <c r="D73" s="643">
        <v>0.25291573849184606</v>
      </c>
      <c r="E73" s="643">
        <v>0.2649278287856765</v>
      </c>
      <c r="F73" s="643">
        <v>0.38107647765300334</v>
      </c>
      <c r="G73" s="856">
        <v>1.2695961914880725</v>
      </c>
      <c r="H73" s="643">
        <v>0.38531866384767716</v>
      </c>
      <c r="I73" s="643">
        <v>0.29917187995619648</v>
      </c>
      <c r="J73" s="643">
        <v>0.2316212496895329</v>
      </c>
      <c r="K73" s="643">
        <v>0.35134872184879751</v>
      </c>
      <c r="L73" s="856">
        <v>1.2674605153422041</v>
      </c>
      <c r="M73" s="643">
        <v>0.45</v>
      </c>
      <c r="N73" s="643">
        <v>0.33</v>
      </c>
      <c r="O73" s="643">
        <v>0.31</v>
      </c>
      <c r="P73" s="643">
        <v>0.41</v>
      </c>
      <c r="Q73" s="661">
        <f t="shared" si="22"/>
        <v>1.5</v>
      </c>
      <c r="S73" s="579"/>
      <c r="T73" s="579"/>
      <c r="U73" s="579"/>
      <c r="V73" s="579"/>
      <c r="W73" s="579"/>
      <c r="X73" s="579"/>
      <c r="Y73" s="579"/>
      <c r="Z73" s="579"/>
    </row>
    <row r="74" spans="2:26" s="617" customFormat="1" ht="13.5" customHeight="1" outlineLevel="1">
      <c r="B74" s="618" t="str">
        <f>names!$A2437</f>
        <v xml:space="preserve">  Węgiel</v>
      </c>
      <c r="C74" s="643">
        <v>1.6322382829154791</v>
      </c>
      <c r="D74" s="643">
        <v>1.0000510199264026</v>
      </c>
      <c r="E74" s="643">
        <v>0.83626241132374113</v>
      </c>
      <c r="F74" s="643">
        <v>1.532694874311141</v>
      </c>
      <c r="G74" s="856">
        <v>5.0012465884767634</v>
      </c>
      <c r="H74" s="643">
        <v>1.4086805152983111</v>
      </c>
      <c r="I74" s="643">
        <v>0.6605488309198263</v>
      </c>
      <c r="J74" s="643">
        <v>0.50297306195411196</v>
      </c>
      <c r="K74" s="643">
        <v>1.1078813802586387</v>
      </c>
      <c r="L74" s="856">
        <v>3.6800837884308879</v>
      </c>
      <c r="M74" s="643">
        <v>1.51</v>
      </c>
      <c r="N74" s="643">
        <v>0.71</v>
      </c>
      <c r="O74" s="643">
        <v>0.65</v>
      </c>
      <c r="P74" s="643">
        <v>1.38</v>
      </c>
      <c r="Q74" s="661">
        <f t="shared" si="22"/>
        <v>4.25</v>
      </c>
      <c r="S74" s="579"/>
      <c r="T74" s="579"/>
      <c r="U74" s="579"/>
      <c r="V74" s="579"/>
      <c r="W74" s="579"/>
      <c r="X74" s="579"/>
      <c r="Y74" s="579"/>
      <c r="Z74" s="579"/>
    </row>
    <row r="75" spans="2:26" s="617" customFormat="1" ht="13.5" customHeight="1" outlineLevel="1">
      <c r="B75" s="618" t="str">
        <f>names!$A2438</f>
        <v xml:space="preserve">  Pozostałe</v>
      </c>
      <c r="C75" s="643">
        <v>2.6010907999999996E-2</v>
      </c>
      <c r="D75" s="643">
        <v>3.0241023999999998E-2</v>
      </c>
      <c r="E75" s="643">
        <v>2.596026399999999E-2</v>
      </c>
      <c r="F75" s="643">
        <v>3.502795999999999E-2</v>
      </c>
      <c r="G75" s="856">
        <v>0.11724015599999998</v>
      </c>
      <c r="H75" s="643">
        <v>3.8905636E-2</v>
      </c>
      <c r="I75" s="643">
        <v>3.0465072000000003E-2</v>
      </c>
      <c r="J75" s="643">
        <v>2.081023999999999E-2</v>
      </c>
      <c r="K75" s="643">
        <v>4.1563348000000014E-2</v>
      </c>
      <c r="L75" s="856">
        <v>0.13174429600000001</v>
      </c>
      <c r="M75" s="643">
        <v>0.04</v>
      </c>
      <c r="N75" s="643">
        <v>0.04</v>
      </c>
      <c r="O75" s="643">
        <v>0.03</v>
      </c>
      <c r="P75" s="643">
        <v>0.02</v>
      </c>
      <c r="Q75" s="661">
        <f t="shared" si="22"/>
        <v>0.13</v>
      </c>
      <c r="S75" s="579"/>
      <c r="T75" s="579"/>
      <c r="U75" s="579"/>
      <c r="V75" s="579"/>
      <c r="W75" s="579"/>
      <c r="X75" s="579"/>
      <c r="Y75" s="579"/>
      <c r="Z75" s="579"/>
    </row>
    <row r="76" spans="2:26" s="82" customFormat="1" ht="13.5" customHeight="1">
      <c r="B76" s="623" t="str">
        <f>names!$A2439</f>
        <v xml:space="preserve">Sprzedaż poza Grupę ORLEN (TWh) </v>
      </c>
      <c r="C76" s="652">
        <f>C77+C78</f>
        <v>8.9783251373849993</v>
      </c>
      <c r="D76" s="652">
        <f t="shared" ref="D76:P76" si="23">D77+D78</f>
        <v>7.7214577102659998</v>
      </c>
      <c r="E76" s="652">
        <f t="shared" si="23"/>
        <v>7.1546247251959585</v>
      </c>
      <c r="F76" s="652">
        <f t="shared" si="23"/>
        <v>8.671440913923</v>
      </c>
      <c r="G76" s="860">
        <f t="shared" si="23"/>
        <v>32.525848486769959</v>
      </c>
      <c r="H76" s="652">
        <f t="shared" si="23"/>
        <v>7.8785357220859993</v>
      </c>
      <c r="I76" s="652">
        <f t="shared" si="23"/>
        <v>6.7743371955430174</v>
      </c>
      <c r="J76" s="652">
        <f t="shared" si="23"/>
        <v>6.6389375705701088</v>
      </c>
      <c r="K76" s="652">
        <f t="shared" si="23"/>
        <v>7.257921127855413</v>
      </c>
      <c r="L76" s="860">
        <f t="shared" si="23"/>
        <v>28.549731616054537</v>
      </c>
      <c r="M76" s="652">
        <f t="shared" si="23"/>
        <v>7.3100000000000005</v>
      </c>
      <c r="N76" s="652">
        <f t="shared" si="23"/>
        <v>6.63</v>
      </c>
      <c r="O76" s="652">
        <f t="shared" si="23"/>
        <v>6.45</v>
      </c>
      <c r="P76" s="652">
        <f t="shared" si="23"/>
        <v>8.17</v>
      </c>
      <c r="Q76" s="794">
        <f t="shared" si="22"/>
        <v>28.560000000000002</v>
      </c>
      <c r="S76" s="579"/>
      <c r="T76" s="579"/>
      <c r="U76" s="579"/>
      <c r="V76" s="579"/>
      <c r="W76" s="579"/>
      <c r="X76" s="579"/>
      <c r="Y76" s="579"/>
      <c r="Z76" s="579"/>
    </row>
    <row r="77" spans="2:26" s="617" customFormat="1" ht="11.25" outlineLevel="1">
      <c r="B77" s="618" t="str">
        <f>names!$A2440</f>
        <v xml:space="preserve"> - na rynku detalicznym </v>
      </c>
      <c r="C77" s="653">
        <v>4.5739630810509189</v>
      </c>
      <c r="D77" s="653">
        <v>4.1958693310908481</v>
      </c>
      <c r="E77" s="653">
        <v>3.6915761602467043</v>
      </c>
      <c r="F77" s="653">
        <v>4.5379975710326912</v>
      </c>
      <c r="G77" s="867">
        <v>16.999406143421162</v>
      </c>
      <c r="H77" s="653">
        <v>4.5797612225859998</v>
      </c>
      <c r="I77" s="653">
        <v>3.6987532738429998</v>
      </c>
      <c r="J77" s="653">
        <v>3.8185862128060002</v>
      </c>
      <c r="K77" s="653">
        <v>4.2974447982059978</v>
      </c>
      <c r="L77" s="867">
        <v>16.394545507440998</v>
      </c>
      <c r="M77" s="961">
        <v>4.57</v>
      </c>
      <c r="N77" s="961">
        <v>3.86</v>
      </c>
      <c r="O77" s="961">
        <v>3.87</v>
      </c>
      <c r="P77" s="961">
        <v>4.63</v>
      </c>
      <c r="Q77" s="797">
        <f t="shared" si="22"/>
        <v>16.93</v>
      </c>
      <c r="S77" s="579"/>
      <c r="T77" s="579"/>
      <c r="U77" s="579"/>
      <c r="V77" s="579"/>
      <c r="W77" s="579"/>
      <c r="X77" s="579"/>
      <c r="Y77" s="579"/>
      <c r="Z77" s="579"/>
    </row>
    <row r="78" spans="2:26" s="617" customFormat="1" ht="11.25" outlineLevel="1">
      <c r="B78" s="618" t="str">
        <f>names!$A2441</f>
        <v xml:space="preserve"> - na rynku hurtowym</v>
      </c>
      <c r="C78" s="653">
        <v>4.4043620563340813</v>
      </c>
      <c r="D78" s="653">
        <v>3.5255883791751512</v>
      </c>
      <c r="E78" s="653">
        <v>3.4630485649492542</v>
      </c>
      <c r="F78" s="653">
        <v>4.1334433428903088</v>
      </c>
      <c r="G78" s="867">
        <v>15.526442343348794</v>
      </c>
      <c r="H78" s="653">
        <v>3.298774499499999</v>
      </c>
      <c r="I78" s="653">
        <v>3.0755839217000176</v>
      </c>
      <c r="J78" s="653">
        <v>2.8203513577641091</v>
      </c>
      <c r="K78" s="653">
        <v>2.9604763296494152</v>
      </c>
      <c r="L78" s="867">
        <v>12.15518610861354</v>
      </c>
      <c r="M78" s="961">
        <v>2.74</v>
      </c>
      <c r="N78" s="961">
        <v>2.77</v>
      </c>
      <c r="O78" s="961">
        <v>2.58</v>
      </c>
      <c r="P78" s="961">
        <v>3.54</v>
      </c>
      <c r="Q78" s="797">
        <f t="shared" si="22"/>
        <v>11.63</v>
      </c>
      <c r="S78" s="579"/>
      <c r="T78" s="579"/>
      <c r="U78" s="579"/>
      <c r="V78" s="579"/>
      <c r="W78" s="579"/>
      <c r="X78" s="579"/>
      <c r="Y78" s="579"/>
      <c r="Z78" s="579"/>
    </row>
    <row r="79" spans="2:26" s="82" customFormat="1" ht="13.5" customHeight="1">
      <c r="B79" s="623" t="str">
        <f>names!$A2442</f>
        <v>Dystrybucja (TWh)</v>
      </c>
      <c r="C79" s="652">
        <v>6.2</v>
      </c>
      <c r="D79" s="652">
        <v>5.8</v>
      </c>
      <c r="E79" s="652">
        <v>5.8</v>
      </c>
      <c r="F79" s="652">
        <v>6.2</v>
      </c>
      <c r="G79" s="860">
        <f>SUM(C79:F79)</f>
        <v>24</v>
      </c>
      <c r="H79" s="652">
        <v>6.26</v>
      </c>
      <c r="I79" s="652">
        <v>5.53</v>
      </c>
      <c r="J79" s="652">
        <v>5.63</v>
      </c>
      <c r="K79" s="652">
        <v>6.04</v>
      </c>
      <c r="L79" s="860">
        <v>23.459999999999997</v>
      </c>
      <c r="M79" s="652">
        <v>6.37</v>
      </c>
      <c r="N79" s="652">
        <v>5.7</v>
      </c>
      <c r="O79" s="652">
        <v>5.58</v>
      </c>
      <c r="P79" s="652">
        <v>6.3</v>
      </c>
      <c r="Q79" s="794">
        <v>23.95</v>
      </c>
      <c r="S79" s="579"/>
      <c r="T79" s="579"/>
      <c r="U79" s="579"/>
      <c r="V79" s="579"/>
      <c r="W79" s="579"/>
      <c r="X79" s="579"/>
      <c r="Y79" s="579"/>
      <c r="Z79" s="579"/>
    </row>
    <row r="80" spans="2:26" s="82" customFormat="1" ht="13.15" customHeight="1" thickBot="1">
      <c r="B80" s="620"/>
      <c r="C80" s="854"/>
      <c r="D80" s="854"/>
      <c r="E80" s="854"/>
      <c r="F80" s="854"/>
      <c r="G80" s="868"/>
      <c r="H80" s="854"/>
      <c r="I80" s="854"/>
      <c r="J80" s="854"/>
      <c r="K80" s="854"/>
      <c r="L80" s="868"/>
      <c r="M80" s="654"/>
      <c r="N80" s="654"/>
      <c r="O80" s="654"/>
      <c r="P80" s="654"/>
      <c r="Q80" s="675"/>
      <c r="S80" s="579"/>
      <c r="T80" s="579"/>
      <c r="U80" s="579"/>
      <c r="V80" s="579"/>
      <c r="W80" s="579"/>
      <c r="X80" s="579"/>
      <c r="Y80" s="579"/>
      <c r="Z80" s="579"/>
    </row>
    <row r="81" spans="1:26" s="5" customFormat="1" ht="24" customHeight="1" thickBot="1">
      <c r="B81" s="619" t="str">
        <f>names!$A2444</f>
        <v>CIEPŁO</v>
      </c>
      <c r="C81" s="678"/>
      <c r="D81" s="678"/>
      <c r="E81" s="678"/>
      <c r="F81" s="678"/>
      <c r="G81" s="858"/>
      <c r="H81" s="678"/>
      <c r="I81" s="678"/>
      <c r="J81" s="678"/>
      <c r="K81" s="678"/>
      <c r="L81" s="858"/>
      <c r="M81" s="644"/>
      <c r="N81" s="644"/>
      <c r="O81" s="644"/>
      <c r="P81" s="644"/>
      <c r="Q81" s="644"/>
      <c r="S81" s="579"/>
      <c r="T81" s="579"/>
      <c r="U81" s="579"/>
      <c r="V81" s="579"/>
      <c r="W81" s="579"/>
      <c r="X81" s="579"/>
      <c r="Y81" s="579"/>
      <c r="Z81" s="579"/>
    </row>
    <row r="82" spans="1:26" s="5" customFormat="1" ht="13.15" customHeight="1">
      <c r="B82" s="628"/>
      <c r="C82" s="853"/>
      <c r="D82" s="853"/>
      <c r="E82" s="853"/>
      <c r="F82" s="853"/>
      <c r="G82" s="859"/>
      <c r="H82" s="853"/>
      <c r="I82" s="853"/>
      <c r="J82" s="853"/>
      <c r="K82" s="853"/>
      <c r="L82" s="859"/>
      <c r="M82" s="789"/>
      <c r="N82" s="789"/>
      <c r="O82" s="789"/>
      <c r="P82" s="789"/>
      <c r="Q82" s="793"/>
      <c r="S82" s="579"/>
      <c r="T82" s="579"/>
      <c r="U82" s="579"/>
      <c r="V82" s="579"/>
      <c r="W82" s="579"/>
      <c r="X82" s="579"/>
      <c r="Y82" s="579"/>
      <c r="Z82" s="579"/>
    </row>
    <row r="83" spans="1:26" s="82" customFormat="1" ht="13.5" customHeight="1">
      <c r="B83" s="623" t="str">
        <f>names!$A2446</f>
        <v>Moc zainstalowana (GWt)</v>
      </c>
      <c r="C83" s="652">
        <v>13.543768499999999</v>
      </c>
      <c r="D83" s="790">
        <v>13.550093499999999</v>
      </c>
      <c r="E83" s="790">
        <v>13.560634999999998</v>
      </c>
      <c r="F83" s="790">
        <v>13.906614999999999</v>
      </c>
      <c r="G83" s="869">
        <v>13.906614999999999</v>
      </c>
      <c r="H83" s="790">
        <v>13.820395599999998</v>
      </c>
      <c r="I83" s="790">
        <v>13.818178499999998</v>
      </c>
      <c r="J83" s="790">
        <v>13.8186585</v>
      </c>
      <c r="K83" s="790">
        <v>13.8250805</v>
      </c>
      <c r="L83" s="869">
        <v>13.8250805</v>
      </c>
      <c r="M83" s="790">
        <v>13.914999999999999</v>
      </c>
      <c r="N83" s="790">
        <v>13.97</v>
      </c>
      <c r="O83" s="790">
        <v>13.96</v>
      </c>
      <c r="P83" s="790">
        <v>13.97</v>
      </c>
      <c r="Q83" s="794">
        <f>P83</f>
        <v>13.97</v>
      </c>
      <c r="S83" s="579"/>
      <c r="T83" s="579"/>
      <c r="U83" s="579"/>
      <c r="V83" s="579"/>
      <c r="W83" s="579"/>
      <c r="X83" s="579"/>
      <c r="Y83" s="579"/>
      <c r="Z83" s="579"/>
    </row>
    <row r="84" spans="1:26" s="82" customFormat="1" ht="13.5" customHeight="1">
      <c r="B84" s="623" t="str">
        <f>names!$A2447</f>
        <v>Produkcja ciepła użytkowego (PJ)</v>
      </c>
      <c r="C84" s="652">
        <v>30.170016061015339</v>
      </c>
      <c r="D84" s="791">
        <v>17.341509068337061</v>
      </c>
      <c r="E84" s="791">
        <v>12.679741279894616</v>
      </c>
      <c r="F84" s="791">
        <v>26.592815170906441</v>
      </c>
      <c r="G84" s="870">
        <v>86.784081580153455</v>
      </c>
      <c r="H84" s="792">
        <v>30.563634005383154</v>
      </c>
      <c r="I84" s="791">
        <v>16.013750323202913</v>
      </c>
      <c r="J84" s="791">
        <v>13.036649595455527</v>
      </c>
      <c r="K84" s="792">
        <v>27.113928275477527</v>
      </c>
      <c r="L84" s="870">
        <v>86.727962199519112</v>
      </c>
      <c r="M84" s="652">
        <v>30.98</v>
      </c>
      <c r="N84" s="790">
        <v>17.5</v>
      </c>
      <c r="O84" s="652">
        <v>13.42</v>
      </c>
      <c r="P84" s="790">
        <v>27.72</v>
      </c>
      <c r="Q84" s="794">
        <f t="shared" ref="Q84:Q85" si="24">P84+O84+N84+M84</f>
        <v>89.62</v>
      </c>
      <c r="S84" s="579"/>
      <c r="T84" s="579"/>
      <c r="U84" s="579"/>
      <c r="V84" s="579"/>
      <c r="W84" s="579"/>
      <c r="X84" s="579"/>
      <c r="Y84" s="579"/>
      <c r="Z84" s="579"/>
    </row>
    <row r="85" spans="1:26" s="82" customFormat="1" ht="13.5" customHeight="1">
      <c r="B85" s="623" t="str">
        <f>names!$A2448</f>
        <v>Sprzedaż poza Grupę ORLEN (PJ)</v>
      </c>
      <c r="C85" s="652">
        <v>19.288484130240175</v>
      </c>
      <c r="D85" s="652">
        <v>7.673717521949504</v>
      </c>
      <c r="E85" s="652">
        <v>3.4797895646971306</v>
      </c>
      <c r="F85" s="652">
        <v>16.468895236176966</v>
      </c>
      <c r="G85" s="860">
        <v>46.910886453063775</v>
      </c>
      <c r="H85" s="652">
        <v>18.762553775087699</v>
      </c>
      <c r="I85" s="652">
        <v>6.3542134660858727</v>
      </c>
      <c r="J85" s="652">
        <v>4.1075544625698948</v>
      </c>
      <c r="K85" s="652">
        <v>16.771483366317096</v>
      </c>
      <c r="L85" s="860">
        <v>45.995805070060563</v>
      </c>
      <c r="M85" s="652">
        <v>19.23</v>
      </c>
      <c r="N85" s="652">
        <v>7.26</v>
      </c>
      <c r="O85" s="652">
        <v>3.72</v>
      </c>
      <c r="P85" s="652">
        <v>16.57</v>
      </c>
      <c r="Q85" s="794">
        <f t="shared" si="24"/>
        <v>46.78</v>
      </c>
      <c r="S85" s="579"/>
      <c r="T85" s="579"/>
      <c r="U85" s="579"/>
      <c r="V85" s="579"/>
      <c r="W85" s="579"/>
      <c r="X85" s="579"/>
      <c r="Y85" s="579"/>
      <c r="Z85" s="579"/>
    </row>
    <row r="86" spans="1:26" s="82" customFormat="1" ht="13.5" customHeight="1">
      <c r="B86" s="640"/>
      <c r="C86" s="788"/>
      <c r="D86" s="788"/>
      <c r="E86" s="788"/>
      <c r="F86" s="788"/>
      <c r="G86" s="871"/>
      <c r="H86" s="788"/>
      <c r="I86" s="788"/>
      <c r="J86" s="788"/>
      <c r="K86" s="788"/>
      <c r="L86" s="871"/>
      <c r="M86" s="788"/>
      <c r="N86" s="640"/>
      <c r="O86" s="640"/>
      <c r="P86" s="640"/>
      <c r="Q86" s="798"/>
      <c r="S86" s="579"/>
      <c r="T86" s="579"/>
      <c r="U86" s="579"/>
      <c r="V86" s="579"/>
      <c r="W86" s="579"/>
      <c r="X86" s="579"/>
      <c r="Y86" s="579"/>
      <c r="Z86" s="579"/>
    </row>
    <row r="87" spans="1:26" s="82" customFormat="1" ht="13.15" customHeight="1">
      <c r="A87"/>
      <c r="B87"/>
      <c r="C87"/>
      <c r="D87"/>
      <c r="E87"/>
      <c r="F87"/>
      <c r="G87"/>
      <c r="H87"/>
      <c r="I87"/>
      <c r="J87"/>
      <c r="K87"/>
      <c r="L87"/>
      <c r="M87" s="650"/>
      <c r="N87" s="641"/>
      <c r="O87" s="641"/>
      <c r="P87" s="641"/>
      <c r="Q87" s="641"/>
    </row>
    <row r="88" spans="1:26">
      <c r="B88" s="577"/>
      <c r="C88" s="577"/>
      <c r="D88" s="577"/>
      <c r="E88" s="577"/>
      <c r="F88" s="577"/>
      <c r="G88" s="577"/>
      <c r="H88" s="577"/>
      <c r="I88" s="577"/>
      <c r="J88" s="577"/>
      <c r="K88" s="577"/>
      <c r="L88" s="577"/>
      <c r="M88" s="577"/>
      <c r="N88" s="577"/>
      <c r="O88" s="577"/>
      <c r="P88" s="577"/>
      <c r="Q88" s="577"/>
    </row>
    <row r="89" spans="1:26">
      <c r="B89" s="526"/>
      <c r="C89" s="526"/>
      <c r="D89" s="526"/>
      <c r="E89" s="526"/>
      <c r="F89" s="526"/>
      <c r="G89" s="526"/>
      <c r="H89" s="526"/>
      <c r="I89" s="526"/>
      <c r="J89" s="526"/>
      <c r="K89" s="526"/>
      <c r="L89" s="526"/>
    </row>
    <row r="90" spans="1:26">
      <c r="P90" s="243"/>
    </row>
    <row r="91" spans="1:26">
      <c r="O91" s="243"/>
      <c r="P91" s="243"/>
    </row>
    <row r="92" spans="1:26">
      <c r="P92" s="243"/>
    </row>
  </sheetData>
  <conditionalFormatting sqref="B88:Q88">
    <cfRule type="cellIs" dxfId="112" priority="1" operator="equal">
      <formula>FALSE</formula>
    </cfRule>
  </conditionalFormatting>
  <pageMargins left="0.7" right="0.7" top="0.75" bottom="0.75" header="0.3" footer="0.3"/>
  <pageSetup paperSize="9" scale="4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pageSetUpPr fitToPage="1"/>
  </sheetPr>
  <dimension ref="A4:Q4"/>
  <sheetViews>
    <sheetView showGridLines="0" view="pageBreakPreview" zoomScaleNormal="100" zoomScaleSheetLayoutView="100" workbookViewId="0">
      <selection activeCell="V47" sqref="V47"/>
    </sheetView>
  </sheetViews>
  <sheetFormatPr defaultRowHeight="12.75"/>
  <cols>
    <col min="16" max="16" width="1" customWidth="1"/>
  </cols>
  <sheetData>
    <row r="4" spans="1:17" ht="37.5">
      <c r="A4" s="491" t="str">
        <f>names!A1001</f>
        <v>Dane historyczne</v>
      </c>
      <c r="Q4" s="577"/>
    </row>
  </sheetData>
  <conditionalFormatting sqref="Q4">
    <cfRule type="cellIs" dxfId="111" priority="1" operator="equal">
      <formula>FALSE</formula>
    </cfRule>
  </conditionalFormatting>
  <pageMargins left="0.70866141732283472" right="0.70866141732283472" top="0.74803149606299213" bottom="0.74803149606299213" header="0.31496062992125984" footer="0.31496062992125984"/>
  <pageSetup paperSize="9" scale="96"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34998626667073579"/>
    <pageSetUpPr fitToPage="1"/>
  </sheetPr>
  <dimension ref="B2:BP48"/>
  <sheetViews>
    <sheetView showGridLines="0" view="pageBreakPreview" zoomScaleNormal="100" zoomScaleSheetLayoutView="100" workbookViewId="0">
      <pane xSplit="6" ySplit="4" topLeftCell="Q5" activePane="bottomRight" state="frozen"/>
      <selection activeCell="B7" sqref="B7"/>
      <selection pane="topRight" activeCell="B7" sqref="B7"/>
      <selection pane="bottomLeft" activeCell="B7" sqref="B7"/>
      <selection pane="bottomRight"/>
    </sheetView>
  </sheetViews>
  <sheetFormatPr defaultColWidth="9.42578125" defaultRowHeight="12.75" outlineLevelCol="3"/>
  <cols>
    <col min="1" max="1" width="1.28515625" customWidth="1"/>
    <col min="2" max="2" width="32.28515625" customWidth="1"/>
    <col min="3" max="6" width="9.5703125" hidden="1" customWidth="1" outlineLevel="1"/>
    <col min="7" max="7" width="9.5703125" hidden="1" customWidth="1" outlineLevel="2" collapsed="1"/>
    <col min="8" max="11" width="9.5703125" hidden="1" customWidth="1" outlineLevel="3"/>
    <col min="12" max="12" width="9.5703125" hidden="1" customWidth="1" outlineLevel="2"/>
    <col min="13" max="14" width="9.5703125" hidden="1" customWidth="1" outlineLevel="1"/>
    <col min="15" max="16" width="7.7109375" hidden="1" customWidth="1" outlineLevel="1"/>
    <col min="17" max="17" width="8.28515625" customWidth="1" collapsed="1"/>
    <col min="18" max="19" width="9.5703125" hidden="1" customWidth="1" outlineLevel="1"/>
    <col min="20" max="21" width="7.7109375" hidden="1" customWidth="1" outlineLevel="1"/>
    <col min="22" max="22" width="8.28515625" customWidth="1" collapsed="1"/>
    <col min="23" max="24" width="9.5703125" hidden="1" customWidth="1" outlineLevel="1"/>
    <col min="25" max="26" width="7.7109375" hidden="1" customWidth="1" outlineLevel="1"/>
    <col min="27" max="27" width="8.28515625" customWidth="1" collapsed="1"/>
    <col min="28" max="28" width="7.7109375" hidden="1" customWidth="1" outlineLevel="1"/>
    <col min="29" max="29" width="9.5703125" hidden="1" customWidth="1" outlineLevel="1"/>
    <col min="30" max="30" width="8.7109375" hidden="1" customWidth="1" outlineLevel="1"/>
    <col min="31" max="31" width="7.7109375" hidden="1" customWidth="1" outlineLevel="1"/>
    <col min="32" max="32" width="8.28515625" customWidth="1" collapsed="1"/>
    <col min="33" max="33" width="8.28515625" hidden="1" customWidth="1" outlineLevel="1" collapsed="1"/>
    <col min="34" max="36" width="9.42578125" hidden="1" customWidth="1" outlineLevel="1"/>
    <col min="37" max="37" width="9.42578125" customWidth="1" collapsed="1"/>
    <col min="38" max="38" width="8.28515625" hidden="1" customWidth="1" outlineLevel="1"/>
    <col min="39" max="41" width="9.42578125" hidden="1" customWidth="1" outlineLevel="1"/>
    <col min="42" max="42" width="9.42578125" customWidth="1" collapsed="1"/>
    <col min="43" max="43" width="8.28515625" hidden="1" customWidth="1" outlineLevel="1"/>
    <col min="44" max="46" width="9.42578125" hidden="1" customWidth="1" outlineLevel="1"/>
    <col min="47" max="47" width="9.42578125" customWidth="1" collapsed="1"/>
    <col min="48" max="48" width="0" hidden="1" customWidth="1" outlineLevel="1"/>
    <col min="49" max="51" width="9.42578125" hidden="1" customWidth="1" outlineLevel="1"/>
    <col min="52" max="52" width="9.42578125" customWidth="1" collapsed="1"/>
    <col min="53" max="56" width="9.42578125" hidden="1" customWidth="1" outlineLevel="1"/>
    <col min="57" max="57" width="9.42578125" customWidth="1" collapsed="1"/>
    <col min="58" max="58" width="0" hidden="1" customWidth="1" outlineLevel="1"/>
    <col min="59" max="61" width="9.42578125" hidden="1" customWidth="1" outlineLevel="1"/>
    <col min="62" max="62" width="9.42578125" customWidth="1" collapsed="1"/>
    <col min="63" max="63" width="0" hidden="1" customWidth="1"/>
    <col min="64" max="67" width="9.42578125" hidden="1" customWidth="1"/>
  </cols>
  <sheetData>
    <row r="2" spans="2:67" ht="15.75">
      <c r="B2" s="719" t="str">
        <f>names!A73</f>
        <v>Parametry makroekonomiczne</v>
      </c>
    </row>
    <row r="3" spans="2:67" ht="10.15" customHeight="1">
      <c r="B3" s="5"/>
      <c r="C3" s="5"/>
      <c r="D3" s="5"/>
      <c r="E3" s="5"/>
      <c r="F3" s="5"/>
      <c r="G3" s="5"/>
      <c r="H3" s="5"/>
      <c r="I3" s="5"/>
      <c r="J3" s="5"/>
    </row>
    <row r="4" spans="2:67" ht="34.5" customHeight="1">
      <c r="B4" s="15" t="str">
        <f>names!A74</f>
        <v>Wyszczególnienie</v>
      </c>
      <c r="C4" s="15" t="str">
        <f>names!$A114</f>
        <v>I kw.
2013</v>
      </c>
      <c r="D4" s="15" t="str">
        <f>names!$A115</f>
        <v>II kw.
2013</v>
      </c>
      <c r="E4" s="15" t="str">
        <f>names!$A116</f>
        <v>III kw.
2013</v>
      </c>
      <c r="F4" s="15" t="str">
        <f>names!$A117</f>
        <v>IV kw.
2013</v>
      </c>
      <c r="G4" s="15" t="str">
        <f>names!$A118</f>
        <v>12 m-cy
2013</v>
      </c>
      <c r="H4" s="15" t="str">
        <f>names!$A119</f>
        <v>I kw.
2014</v>
      </c>
      <c r="I4" s="15" t="str">
        <f>names!$A120</f>
        <v>II kw.
2014</v>
      </c>
      <c r="J4" s="15" t="str">
        <f>names!$A121</f>
        <v>III kw.
2014</v>
      </c>
      <c r="K4" s="15" t="str">
        <f>names!$A122</f>
        <v>IV kw.
2014</v>
      </c>
      <c r="L4" s="15" t="str">
        <f>names!$A123</f>
        <v>12 m-cy
2014</v>
      </c>
      <c r="M4" s="15" t="str">
        <f>names!$A124</f>
        <v>I kw.
2015</v>
      </c>
      <c r="N4" s="15" t="str">
        <f>names!$A125</f>
        <v>II kw.
2015</v>
      </c>
      <c r="O4" s="15" t="str">
        <f>names!$A126</f>
        <v>III kw.
2015</v>
      </c>
      <c r="P4" s="15" t="str">
        <f>names!$A127</f>
        <v>IV kw.
2015</v>
      </c>
      <c r="Q4" s="15" t="str">
        <f>names!$A128</f>
        <v>12 m-cy
2015</v>
      </c>
      <c r="R4" s="15" t="str">
        <f>names!$A129</f>
        <v>I kw.
2016</v>
      </c>
      <c r="S4" s="15" t="str">
        <f>names!$A130</f>
        <v>II kw.
2016</v>
      </c>
      <c r="T4" s="15" t="str">
        <f>names!$A131</f>
        <v>III kw.
2016</v>
      </c>
      <c r="U4" s="15" t="str">
        <f>names!$A132</f>
        <v>IV kw.
2016</v>
      </c>
      <c r="V4" s="15" t="str">
        <f>names!$A133</f>
        <v>12 m-cy
2016</v>
      </c>
      <c r="W4" s="15" t="str">
        <f>names!$A134</f>
        <v>I kw.
2017</v>
      </c>
      <c r="X4" s="15" t="str">
        <f>names!$A135</f>
        <v>II kw.
2017</v>
      </c>
      <c r="Y4" s="15" t="str">
        <f>names!$A136</f>
        <v>III kw.
2017</v>
      </c>
      <c r="Z4" s="15" t="str">
        <f>names!$A137</f>
        <v>IV kw.
2017</v>
      </c>
      <c r="AA4" s="15" t="str">
        <f>names!$A138</f>
        <v>12 m-cy
2017</v>
      </c>
      <c r="AB4" s="15" t="str">
        <f>names!$A139</f>
        <v>I kw.
2018</v>
      </c>
      <c r="AC4" s="15" t="str">
        <f>names!$A140</f>
        <v>II kw.
2018</v>
      </c>
      <c r="AD4" s="15" t="str">
        <f>names!$A141</f>
        <v>III kw.
2018</v>
      </c>
      <c r="AE4" s="15" t="str">
        <f>names!$A142</f>
        <v>IV kw.
2018</v>
      </c>
      <c r="AF4" s="15" t="str">
        <f>names!$A143</f>
        <v>12 m-cy
2018</v>
      </c>
      <c r="AG4" s="15" t="str">
        <f>names!$A144</f>
        <v>I kw. 
2019</v>
      </c>
      <c r="AH4" s="15" t="str">
        <f>names!$A145</f>
        <v>II kw. 
2019</v>
      </c>
      <c r="AI4" s="15" t="str">
        <f>names!$A146</f>
        <v>III kw. 
2019</v>
      </c>
      <c r="AJ4" s="15" t="str">
        <f>names!$A147</f>
        <v>IV kw. 
2019</v>
      </c>
      <c r="AK4" s="15" t="str">
        <f>names!$A148</f>
        <v>12 m-cy 2019</v>
      </c>
      <c r="AL4" s="15" t="str">
        <f>names!$A149</f>
        <v>I kw. 
2020</v>
      </c>
      <c r="AM4" s="15" t="str">
        <f>names!$A150</f>
        <v>II kw. 
2020</v>
      </c>
      <c r="AN4" s="15" t="str">
        <f>names!$A151</f>
        <v>III kw. 
2020</v>
      </c>
      <c r="AO4" s="15" t="str">
        <f>names!$A152</f>
        <v>IV kw. 
2020</v>
      </c>
      <c r="AP4" s="15" t="str">
        <f>names!$A153</f>
        <v>12 m-cy 2020</v>
      </c>
      <c r="AQ4" s="15" t="str">
        <f>names!$A154</f>
        <v>I kw. 
2021</v>
      </c>
      <c r="AR4" s="15" t="str">
        <f>names!$A155</f>
        <v>II kw. 
2021</v>
      </c>
      <c r="AS4" s="15" t="str">
        <f>names!$A156</f>
        <v>III kw. 
2021</v>
      </c>
      <c r="AT4" s="15" t="str">
        <f>names!$A157</f>
        <v>IV kw. 
2021</v>
      </c>
      <c r="AU4" s="15" t="str">
        <f>names!$A158</f>
        <v>12 m-cy 2021</v>
      </c>
      <c r="AV4" s="15" t="str">
        <f>names!A159</f>
        <v>I kw. 
2022</v>
      </c>
      <c r="AW4" s="15" t="str">
        <f>names!$A160</f>
        <v>II kw. 
2022</v>
      </c>
      <c r="AX4" s="15" t="str">
        <f>names!$A161</f>
        <v>III kw. 
2022</v>
      </c>
      <c r="AY4" s="15" t="str">
        <f>names!$A162</f>
        <v>IV kw. 
2022</v>
      </c>
      <c r="AZ4" s="15" t="str">
        <f>names!$A163</f>
        <v>12 m-cy 2022</v>
      </c>
      <c r="BA4" s="15" t="str">
        <f>names!$A164</f>
        <v>I kw. 
2023</v>
      </c>
      <c r="BB4" s="15" t="str">
        <f>names!$A165</f>
        <v>II kw. 
2023</v>
      </c>
      <c r="BC4" s="15" t="str">
        <f>names!$A166</f>
        <v>III kw. 
2023</v>
      </c>
      <c r="BD4" s="15" t="str">
        <f>names!$A167</f>
        <v>IV kw. 
2023</v>
      </c>
      <c r="BE4" s="15" t="str">
        <f>names!$A168</f>
        <v>12 m-cy 2023</v>
      </c>
      <c r="BF4" s="15" t="str">
        <f>names!$A169</f>
        <v>I kw. 
2024</v>
      </c>
      <c r="BG4" s="15" t="str">
        <f>names!$A170</f>
        <v>II kw. 
2024</v>
      </c>
      <c r="BH4" s="15" t="str">
        <f>names!$A171</f>
        <v>III kw. 
2024</v>
      </c>
      <c r="BI4" s="15" t="str">
        <f>names!$A172</f>
        <v>IV kw. 
2024</v>
      </c>
      <c r="BJ4" s="15" t="str">
        <f>names!$A173</f>
        <v>12 m-cy 2024</v>
      </c>
      <c r="BK4" s="15" t="str">
        <f>names!$A174</f>
        <v>I kw. 
2025</v>
      </c>
      <c r="BL4" s="15" t="str">
        <f>names!$A175</f>
        <v>II kw. 
2025</v>
      </c>
      <c r="BM4" s="15" t="str">
        <f>names!$A176</f>
        <v>III kw. 
2025</v>
      </c>
      <c r="BN4" s="15" t="str">
        <f>names!$A177</f>
        <v>IV kw. 
2025</v>
      </c>
      <c r="BO4" s="15" t="str">
        <f>names!$A178</f>
        <v>12 m-cy 2025</v>
      </c>
    </row>
    <row r="5" spans="2:67" s="29" customFormat="1" ht="7.15" customHeight="1">
      <c r="B5" s="116"/>
      <c r="C5" s="105"/>
      <c r="D5" s="105"/>
      <c r="E5" s="105"/>
      <c r="F5" s="105"/>
      <c r="G5" s="105"/>
      <c r="H5" s="105"/>
      <c r="I5" s="105"/>
      <c r="J5" s="105"/>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row>
    <row r="6" spans="2:67" s="5" customFormat="1" ht="12.75" customHeight="1">
      <c r="B6" s="122" t="str">
        <f>names!A76</f>
        <v>Ropa naftowa Brent (USD/bbl)</v>
      </c>
      <c r="C6" s="668">
        <v>112.5</v>
      </c>
      <c r="D6" s="668">
        <v>102.4</v>
      </c>
      <c r="E6" s="668">
        <v>110.3</v>
      </c>
      <c r="F6" s="668">
        <v>109.3</v>
      </c>
      <c r="G6" s="669">
        <v>108.6</v>
      </c>
      <c r="H6" s="668">
        <v>108.2</v>
      </c>
      <c r="I6" s="668">
        <v>109.6</v>
      </c>
      <c r="J6" s="668">
        <v>101.9</v>
      </c>
      <c r="K6" s="670">
        <v>76.599999999999994</v>
      </c>
      <c r="L6" s="671">
        <v>99.1</v>
      </c>
      <c r="M6" s="670">
        <v>53.9</v>
      </c>
      <c r="N6" s="670">
        <v>61.9</v>
      </c>
      <c r="O6" s="670">
        <v>50.5</v>
      </c>
      <c r="P6" s="670">
        <v>43.8</v>
      </c>
      <c r="Q6" s="671">
        <v>52.5</v>
      </c>
      <c r="R6" s="670">
        <v>33.9</v>
      </c>
      <c r="S6" s="670">
        <v>45.6</v>
      </c>
      <c r="T6" s="670">
        <v>45.9</v>
      </c>
      <c r="U6" s="670">
        <v>49.3</v>
      </c>
      <c r="V6" s="671">
        <v>43.7</v>
      </c>
      <c r="W6" s="670">
        <v>53.7</v>
      </c>
      <c r="X6" s="670">
        <v>49.6</v>
      </c>
      <c r="Y6" s="670">
        <v>52.1</v>
      </c>
      <c r="Z6" s="670">
        <v>61.3</v>
      </c>
      <c r="AA6" s="671">
        <v>54.2</v>
      </c>
      <c r="AB6" s="670">
        <v>66.8</v>
      </c>
      <c r="AC6" s="670">
        <v>74.400000000000006</v>
      </c>
      <c r="AD6" s="670">
        <v>75.2</v>
      </c>
      <c r="AE6" s="670">
        <v>68.8</v>
      </c>
      <c r="AF6" s="671">
        <v>71.3</v>
      </c>
      <c r="AG6" s="670">
        <v>63.1</v>
      </c>
      <c r="AH6" s="670">
        <v>68.900000000000006</v>
      </c>
      <c r="AI6" s="670">
        <v>62</v>
      </c>
      <c r="AJ6" s="670">
        <v>63.1</v>
      </c>
      <c r="AK6" s="671">
        <v>64.2</v>
      </c>
      <c r="AL6" s="670">
        <v>50.1</v>
      </c>
      <c r="AM6" s="670">
        <v>29.6</v>
      </c>
      <c r="AN6" s="670">
        <v>42.9</v>
      </c>
      <c r="AO6" s="670">
        <v>44.2</v>
      </c>
      <c r="AP6" s="671">
        <v>41.8</v>
      </c>
      <c r="AQ6" s="670">
        <v>61.1</v>
      </c>
      <c r="AR6" s="670">
        <v>69</v>
      </c>
      <c r="AS6" s="670">
        <v>73.5</v>
      </c>
      <c r="AT6" s="670">
        <v>79.8</v>
      </c>
      <c r="AU6" s="671">
        <v>70.900000000000006</v>
      </c>
      <c r="AV6" s="670">
        <v>102.2</v>
      </c>
      <c r="AW6" s="670">
        <v>113.9</v>
      </c>
      <c r="AX6" s="670">
        <v>100.8</v>
      </c>
      <c r="AY6" s="670">
        <v>88.9</v>
      </c>
      <c r="AZ6" s="671">
        <v>101.3</v>
      </c>
      <c r="BA6" s="670">
        <v>81.2</v>
      </c>
      <c r="BB6" s="670">
        <v>78.099999999999994</v>
      </c>
      <c r="BC6" s="670">
        <v>86.7</v>
      </c>
      <c r="BD6" s="670">
        <v>84.3</v>
      </c>
      <c r="BE6" s="671">
        <v>82.6</v>
      </c>
      <c r="BF6" s="670">
        <v>83.2</v>
      </c>
      <c r="BG6" s="670">
        <v>85</v>
      </c>
      <c r="BH6" s="665">
        <v>80.3</v>
      </c>
      <c r="BI6" s="665">
        <v>74.7</v>
      </c>
      <c r="BJ6" s="666">
        <v>80.8</v>
      </c>
      <c r="BK6" s="670">
        <v>75.7</v>
      </c>
      <c r="BL6" s="670"/>
      <c r="BM6" s="665"/>
      <c r="BN6" s="665"/>
      <c r="BO6" s="666"/>
    </row>
    <row r="7" spans="2:67" s="5" customFormat="1" ht="13.5" customHeight="1">
      <c r="B7" s="118" t="str">
        <f>names!A77</f>
        <v>Dyferencjał 1)</v>
      </c>
      <c r="C7" s="198">
        <v>-1.7</v>
      </c>
      <c r="D7" s="198">
        <v>-0.7</v>
      </c>
      <c r="E7" s="198">
        <v>-0.2</v>
      </c>
      <c r="F7" s="198">
        <v>-1.4</v>
      </c>
      <c r="G7" s="252">
        <v>-1</v>
      </c>
      <c r="H7" s="198">
        <v>-1.4</v>
      </c>
      <c r="I7" s="198">
        <v>-2.2000000000000002</v>
      </c>
      <c r="J7" s="198">
        <v>-1.8</v>
      </c>
      <c r="K7" s="199">
        <v>-1.5</v>
      </c>
      <c r="L7" s="259">
        <v>-1.7</v>
      </c>
      <c r="M7" s="199">
        <v>-1.7</v>
      </c>
      <c r="N7" s="199">
        <v>-1.5</v>
      </c>
      <c r="O7" s="199">
        <v>-1.5</v>
      </c>
      <c r="P7" s="199">
        <v>-2.7</v>
      </c>
      <c r="Q7" s="259">
        <v>-1.8</v>
      </c>
      <c r="R7" s="199">
        <v>-2.7</v>
      </c>
      <c r="S7" s="199">
        <v>-2.6</v>
      </c>
      <c r="T7" s="199">
        <v>-2.4</v>
      </c>
      <c r="U7" s="199">
        <v>-2.2000000000000002</v>
      </c>
      <c r="V7" s="259">
        <v>-2.5</v>
      </c>
      <c r="W7" s="199">
        <v>-2.1</v>
      </c>
      <c r="X7" s="199">
        <v>-1.5</v>
      </c>
      <c r="Y7" s="199">
        <v>-1</v>
      </c>
      <c r="Z7" s="199">
        <v>-0.9</v>
      </c>
      <c r="AA7" s="259">
        <v>-1.4</v>
      </c>
      <c r="AB7" s="199">
        <v>-1.6</v>
      </c>
      <c r="AC7" s="199">
        <v>-2.2000000000000002</v>
      </c>
      <c r="AD7" s="199">
        <v>-1.3</v>
      </c>
      <c r="AE7" s="199">
        <v>-1</v>
      </c>
      <c r="AF7" s="259">
        <v>-1.5</v>
      </c>
      <c r="AG7" s="199">
        <v>-0.2</v>
      </c>
      <c r="AH7" s="199">
        <v>-0.5</v>
      </c>
      <c r="AI7" s="199">
        <v>-1</v>
      </c>
      <c r="AJ7" s="199">
        <v>-1.5</v>
      </c>
      <c r="AK7" s="259">
        <v>-0.8</v>
      </c>
      <c r="AL7" s="199">
        <v>-2.4</v>
      </c>
      <c r="AM7" s="199">
        <v>-0.1</v>
      </c>
      <c r="AN7" s="199">
        <v>0.1</v>
      </c>
      <c r="AO7" s="199">
        <v>-0.1</v>
      </c>
      <c r="AP7" s="259">
        <v>-0.6</v>
      </c>
      <c r="AQ7" s="199">
        <v>-1.5</v>
      </c>
      <c r="AR7" s="199">
        <v>-2</v>
      </c>
      <c r="AS7" s="199">
        <v>-2.2999999999999998</v>
      </c>
      <c r="AT7" s="199">
        <v>-1.7</v>
      </c>
      <c r="AU7" s="259">
        <v>-1.9</v>
      </c>
      <c r="AV7" s="199">
        <v>-7.8</v>
      </c>
      <c r="AW7" s="199">
        <v>-12.3</v>
      </c>
      <c r="AX7" s="199">
        <v>-7.4</v>
      </c>
      <c r="AY7" s="199">
        <v>-6.4</v>
      </c>
      <c r="AZ7" s="259">
        <v>-8.6999999999999993</v>
      </c>
      <c r="BA7" s="199">
        <v>-5.0999999999999996</v>
      </c>
      <c r="BB7" s="199">
        <v>-1.9</v>
      </c>
      <c r="BC7" s="199">
        <v>0.9</v>
      </c>
      <c r="BD7" s="199">
        <v>1.9</v>
      </c>
      <c r="BE7" s="259">
        <v>-0.7</v>
      </c>
      <c r="BF7" s="199">
        <v>-0.1</v>
      </c>
      <c r="BG7" s="199">
        <v>1</v>
      </c>
      <c r="BH7" s="200">
        <v>1.1000000000000001</v>
      </c>
      <c r="BI7" s="200">
        <v>-0.8</v>
      </c>
      <c r="BJ7" s="266">
        <v>0.2</v>
      </c>
      <c r="BK7" s="199">
        <v>-0.2</v>
      </c>
      <c r="BL7" s="199"/>
      <c r="BM7" s="200"/>
      <c r="BN7" s="200"/>
      <c r="BO7" s="266"/>
    </row>
    <row r="8" spans="2:67" s="5" customFormat="1" ht="13.5" customHeight="1">
      <c r="B8" s="115" t="str">
        <f>names!A78</f>
        <v>Ropa WTI (USD/bbl)</v>
      </c>
      <c r="C8" s="23">
        <v>94</v>
      </c>
      <c r="D8" s="23">
        <v>94</v>
      </c>
      <c r="E8" s="23">
        <v>106</v>
      </c>
      <c r="F8" s="23">
        <v>100</v>
      </c>
      <c r="G8" s="253">
        <v>99</v>
      </c>
      <c r="H8" s="23">
        <v>99</v>
      </c>
      <c r="I8" s="23">
        <v>103</v>
      </c>
      <c r="J8" s="23">
        <v>98</v>
      </c>
      <c r="K8" s="431">
        <v>74</v>
      </c>
      <c r="L8" s="495">
        <v>94</v>
      </c>
      <c r="M8" s="431">
        <v>49</v>
      </c>
      <c r="N8" s="431">
        <v>58</v>
      </c>
      <c r="O8" s="431">
        <v>46</v>
      </c>
      <c r="P8" s="431">
        <v>42</v>
      </c>
      <c r="Q8" s="495">
        <v>48.75</v>
      </c>
      <c r="R8" s="431">
        <v>34</v>
      </c>
      <c r="S8" s="431">
        <v>46</v>
      </c>
      <c r="T8" s="431">
        <v>45</v>
      </c>
      <c r="U8" s="431">
        <v>49</v>
      </c>
      <c r="V8" s="495">
        <v>44</v>
      </c>
      <c r="W8" s="431">
        <v>52</v>
      </c>
      <c r="X8" s="431">
        <v>48</v>
      </c>
      <c r="Y8" s="431">
        <v>48</v>
      </c>
      <c r="Z8" s="431">
        <v>55</v>
      </c>
      <c r="AA8" s="495">
        <v>51</v>
      </c>
      <c r="AB8" s="431">
        <v>63</v>
      </c>
      <c r="AC8" s="431">
        <v>68</v>
      </c>
      <c r="AD8" s="431">
        <v>70</v>
      </c>
      <c r="AE8" s="431">
        <v>59</v>
      </c>
      <c r="AF8" s="495">
        <v>65</v>
      </c>
      <c r="AG8" s="431">
        <v>55</v>
      </c>
      <c r="AH8" s="431">
        <v>60</v>
      </c>
      <c r="AI8" s="431">
        <v>56</v>
      </c>
      <c r="AJ8" s="431">
        <v>57</v>
      </c>
      <c r="AK8" s="495">
        <v>57</v>
      </c>
      <c r="AL8" s="431">
        <v>45</v>
      </c>
      <c r="AM8" s="431">
        <v>28</v>
      </c>
      <c r="AN8" s="431">
        <v>41</v>
      </c>
      <c r="AO8" s="431">
        <v>42.627800000000001</v>
      </c>
      <c r="AP8" s="495">
        <v>39</v>
      </c>
      <c r="AQ8" s="431">
        <v>58</v>
      </c>
      <c r="AR8" s="431">
        <v>66.069999999999993</v>
      </c>
      <c r="AS8" s="431">
        <v>71</v>
      </c>
      <c r="AT8" s="431">
        <v>77</v>
      </c>
      <c r="AU8" s="495">
        <v>60</v>
      </c>
      <c r="AV8" s="431">
        <v>94</v>
      </c>
      <c r="AW8" s="431">
        <v>108</v>
      </c>
      <c r="AX8" s="431">
        <v>92</v>
      </c>
      <c r="AY8" s="431">
        <v>83</v>
      </c>
      <c r="AZ8" s="495">
        <v>94</v>
      </c>
      <c r="BA8" s="431">
        <v>76</v>
      </c>
      <c r="BB8" s="431">
        <v>73.790000000000006</v>
      </c>
      <c r="BC8" s="431">
        <v>82</v>
      </c>
      <c r="BD8" s="431">
        <v>78</v>
      </c>
      <c r="BE8" s="495">
        <v>78</v>
      </c>
      <c r="BF8" s="431">
        <v>77</v>
      </c>
      <c r="BG8" s="431">
        <v>81</v>
      </c>
      <c r="BH8" s="142">
        <v>75</v>
      </c>
      <c r="BI8" s="142">
        <v>70</v>
      </c>
      <c r="BJ8" s="260">
        <v>76</v>
      </c>
      <c r="BK8" s="431">
        <v>71</v>
      </c>
      <c r="BL8" s="431"/>
      <c r="BM8" s="142"/>
      <c r="BN8" s="142"/>
      <c r="BO8" s="260"/>
    </row>
    <row r="9" spans="2:67" s="5" customFormat="1" ht="13.5" customHeight="1">
      <c r="B9" s="115" t="str">
        <f>names!A79</f>
        <v>Ropa Canadian Light Sweet (USD/bbl)</v>
      </c>
      <c r="C9" s="23">
        <v>88</v>
      </c>
      <c r="D9" s="23">
        <v>91</v>
      </c>
      <c r="E9" s="23">
        <v>101</v>
      </c>
      <c r="F9" s="23">
        <v>82</v>
      </c>
      <c r="G9" s="253">
        <v>91</v>
      </c>
      <c r="H9" s="23">
        <v>91</v>
      </c>
      <c r="I9" s="23">
        <v>96</v>
      </c>
      <c r="J9" s="23">
        <v>90</v>
      </c>
      <c r="K9" s="431">
        <v>67</v>
      </c>
      <c r="L9" s="495">
        <v>86</v>
      </c>
      <c r="M9" s="431">
        <v>42</v>
      </c>
      <c r="N9" s="431">
        <v>55</v>
      </c>
      <c r="O9" s="431">
        <v>43</v>
      </c>
      <c r="P9" s="431">
        <v>40</v>
      </c>
      <c r="Q9" s="495">
        <v>45</v>
      </c>
      <c r="R9" s="431">
        <v>30</v>
      </c>
      <c r="S9" s="431">
        <v>43</v>
      </c>
      <c r="T9" s="431">
        <v>42</v>
      </c>
      <c r="U9" s="431">
        <v>46</v>
      </c>
      <c r="V9" s="495">
        <v>40</v>
      </c>
      <c r="W9" s="431">
        <v>49</v>
      </c>
      <c r="X9" s="431">
        <v>46</v>
      </c>
      <c r="Y9" s="431">
        <v>46</v>
      </c>
      <c r="Z9" s="431">
        <v>52</v>
      </c>
      <c r="AA9" s="495">
        <v>48</v>
      </c>
      <c r="AB9" s="431">
        <v>57</v>
      </c>
      <c r="AC9" s="431">
        <v>61</v>
      </c>
      <c r="AD9" s="431">
        <v>59</v>
      </c>
      <c r="AE9" s="431">
        <v>36</v>
      </c>
      <c r="AF9" s="495">
        <v>53</v>
      </c>
      <c r="AG9" s="431">
        <v>51</v>
      </c>
      <c r="AH9" s="431">
        <v>54</v>
      </c>
      <c r="AI9" s="431">
        <v>52</v>
      </c>
      <c r="AJ9" s="431">
        <v>51</v>
      </c>
      <c r="AK9" s="495">
        <v>52</v>
      </c>
      <c r="AL9" s="431">
        <v>39</v>
      </c>
      <c r="AM9" s="431">
        <v>23</v>
      </c>
      <c r="AN9" s="431">
        <v>37</v>
      </c>
      <c r="AO9" s="431">
        <v>37.953000000000003</v>
      </c>
      <c r="AP9" s="495">
        <v>34</v>
      </c>
      <c r="AQ9" s="431">
        <v>55</v>
      </c>
      <c r="AR9" s="431">
        <v>62.756700000000002</v>
      </c>
      <c r="AS9" s="431">
        <v>67</v>
      </c>
      <c r="AT9" s="431">
        <v>73</v>
      </c>
      <c r="AU9" s="495">
        <v>56</v>
      </c>
      <c r="AV9" s="431">
        <v>93</v>
      </c>
      <c r="AW9" s="431">
        <v>107</v>
      </c>
      <c r="AX9" s="431">
        <v>89</v>
      </c>
      <c r="AY9" s="431">
        <v>80</v>
      </c>
      <c r="AZ9" s="495">
        <v>92</v>
      </c>
      <c r="BA9" s="431">
        <v>74</v>
      </c>
      <c r="BB9" s="431">
        <v>70.753299999999996</v>
      </c>
      <c r="BC9" s="431">
        <v>80</v>
      </c>
      <c r="BD9" s="431">
        <v>71</v>
      </c>
      <c r="BE9" s="495">
        <v>74</v>
      </c>
      <c r="BF9" s="431">
        <v>70</v>
      </c>
      <c r="BG9" s="431">
        <v>77</v>
      </c>
      <c r="BH9" s="142">
        <v>72</v>
      </c>
      <c r="BI9" s="142">
        <v>67</v>
      </c>
      <c r="BJ9" s="260">
        <v>72</v>
      </c>
      <c r="BK9" s="431">
        <v>66</v>
      </c>
      <c r="BL9" s="431"/>
      <c r="BM9" s="142"/>
      <c r="BN9" s="142"/>
      <c r="BO9" s="260"/>
    </row>
    <row r="10" spans="2:67" s="5" customFormat="1" ht="13.5" customHeight="1" thickBot="1">
      <c r="B10" s="47" t="str">
        <f>names!A80</f>
        <v>Gaz Henry Hub (USD/1000m3)</v>
      </c>
      <c r="C10" s="23">
        <v>123</v>
      </c>
      <c r="D10" s="23">
        <v>142</v>
      </c>
      <c r="E10" s="23">
        <v>125</v>
      </c>
      <c r="F10" s="23">
        <v>136</v>
      </c>
      <c r="G10" s="253">
        <v>132</v>
      </c>
      <c r="H10" s="23">
        <v>183</v>
      </c>
      <c r="I10" s="23">
        <v>163</v>
      </c>
      <c r="J10" s="23">
        <v>140</v>
      </c>
      <c r="K10" s="431">
        <v>133</v>
      </c>
      <c r="L10" s="495">
        <v>155</v>
      </c>
      <c r="M10" s="431">
        <v>102</v>
      </c>
      <c r="N10" s="431">
        <v>97</v>
      </c>
      <c r="O10" s="672">
        <v>97</v>
      </c>
      <c r="P10" s="672">
        <v>75</v>
      </c>
      <c r="Q10" s="495">
        <v>92.75</v>
      </c>
      <c r="R10" s="431">
        <v>72</v>
      </c>
      <c r="S10" s="431">
        <v>78</v>
      </c>
      <c r="T10" s="672">
        <v>103</v>
      </c>
      <c r="U10" s="672">
        <v>110</v>
      </c>
      <c r="V10" s="495">
        <v>91</v>
      </c>
      <c r="W10" s="431">
        <v>108</v>
      </c>
      <c r="X10" s="431">
        <v>111</v>
      </c>
      <c r="Y10" s="431">
        <v>106</v>
      </c>
      <c r="Z10" s="431">
        <v>104</v>
      </c>
      <c r="AA10" s="495">
        <v>107</v>
      </c>
      <c r="AB10" s="431">
        <v>115</v>
      </c>
      <c r="AC10" s="431">
        <v>104</v>
      </c>
      <c r="AD10" s="431">
        <v>106</v>
      </c>
      <c r="AE10" s="431">
        <v>137</v>
      </c>
      <c r="AF10" s="495">
        <v>116</v>
      </c>
      <c r="AG10" s="431">
        <v>106</v>
      </c>
      <c r="AH10" s="431">
        <v>91</v>
      </c>
      <c r="AI10" s="431">
        <v>87</v>
      </c>
      <c r="AJ10" s="431">
        <v>87</v>
      </c>
      <c r="AK10" s="495">
        <v>93</v>
      </c>
      <c r="AL10" s="431">
        <v>68</v>
      </c>
      <c r="AM10" s="431">
        <v>62</v>
      </c>
      <c r="AN10" s="431">
        <v>70</v>
      </c>
      <c r="AO10" s="431">
        <v>83.160799999999995</v>
      </c>
      <c r="AP10" s="495">
        <v>71</v>
      </c>
      <c r="AQ10" s="431">
        <v>115</v>
      </c>
      <c r="AR10" s="431">
        <v>107.80710000000001</v>
      </c>
      <c r="AS10" s="431">
        <v>157</v>
      </c>
      <c r="AT10" s="431">
        <v>177</v>
      </c>
      <c r="AU10" s="495">
        <v>119</v>
      </c>
      <c r="AV10" s="431">
        <v>165</v>
      </c>
      <c r="AW10" s="431">
        <v>272</v>
      </c>
      <c r="AX10" s="431">
        <v>287</v>
      </c>
      <c r="AY10" s="431">
        <v>221</v>
      </c>
      <c r="AZ10" s="495">
        <v>236</v>
      </c>
      <c r="BA10" s="431">
        <v>100</v>
      </c>
      <c r="BB10" s="431">
        <v>84.696899999999999</v>
      </c>
      <c r="BC10" s="431">
        <v>96</v>
      </c>
      <c r="BD10" s="431">
        <v>105.8712</v>
      </c>
      <c r="BE10" s="495">
        <v>96.766199999999998</v>
      </c>
      <c r="BF10" s="431">
        <v>76</v>
      </c>
      <c r="BG10" s="431">
        <v>85</v>
      </c>
      <c r="BH10" s="431">
        <v>81</v>
      </c>
      <c r="BI10" s="142">
        <v>109</v>
      </c>
      <c r="BJ10" s="260">
        <v>88</v>
      </c>
      <c r="BK10" s="431">
        <v>140</v>
      </c>
      <c r="BL10" s="431"/>
      <c r="BM10" s="431"/>
      <c r="BN10" s="142"/>
      <c r="BO10" s="260"/>
    </row>
    <row r="11" spans="2:67" s="5" customFormat="1" ht="13.5" customHeight="1">
      <c r="B11" s="118" t="str">
        <f>names!A81</f>
        <v>Gaz NGX AB-NIT (2A) (USD/1000m3)</v>
      </c>
      <c r="C11" s="191">
        <v>111</v>
      </c>
      <c r="D11" s="191">
        <v>113</v>
      </c>
      <c r="E11" s="191">
        <v>88</v>
      </c>
      <c r="F11" s="191">
        <v>114</v>
      </c>
      <c r="G11" s="254">
        <v>107</v>
      </c>
      <c r="H11" s="191">
        <v>170</v>
      </c>
      <c r="I11" s="191">
        <v>142</v>
      </c>
      <c r="J11" s="191">
        <v>123</v>
      </c>
      <c r="K11" s="129">
        <v>106</v>
      </c>
      <c r="L11" s="261">
        <v>135</v>
      </c>
      <c r="M11" s="129">
        <v>75</v>
      </c>
      <c r="N11" s="129">
        <v>73</v>
      </c>
      <c r="O11" s="129">
        <v>74</v>
      </c>
      <c r="P11" s="129">
        <v>62</v>
      </c>
      <c r="Q11" s="261">
        <v>71</v>
      </c>
      <c r="R11" s="129">
        <v>47</v>
      </c>
      <c r="S11" s="129">
        <v>40</v>
      </c>
      <c r="T11" s="129">
        <v>66</v>
      </c>
      <c r="U11" s="129">
        <v>85</v>
      </c>
      <c r="V11" s="261">
        <v>60</v>
      </c>
      <c r="W11" s="129">
        <v>74</v>
      </c>
      <c r="X11" s="129">
        <v>75</v>
      </c>
      <c r="Y11" s="129">
        <v>48</v>
      </c>
      <c r="Z11" s="129">
        <v>48</v>
      </c>
      <c r="AA11" s="261">
        <v>61</v>
      </c>
      <c r="AB11" s="129">
        <v>59</v>
      </c>
      <c r="AC11" s="129">
        <v>34</v>
      </c>
      <c r="AD11" s="129">
        <v>35</v>
      </c>
      <c r="AE11" s="129">
        <v>43</v>
      </c>
      <c r="AF11" s="261">
        <v>43</v>
      </c>
      <c r="AG11" s="129">
        <v>70</v>
      </c>
      <c r="AH11" s="129">
        <v>30</v>
      </c>
      <c r="AI11" s="129">
        <v>28</v>
      </c>
      <c r="AJ11" s="129">
        <v>68</v>
      </c>
      <c r="AK11" s="261">
        <v>49</v>
      </c>
      <c r="AL11" s="129">
        <v>54</v>
      </c>
      <c r="AM11" s="129">
        <v>52</v>
      </c>
      <c r="AN11" s="129">
        <v>60</v>
      </c>
      <c r="AO11" s="129">
        <v>71.695400000000006</v>
      </c>
      <c r="AP11" s="261">
        <v>60</v>
      </c>
      <c r="AQ11" s="129">
        <v>87</v>
      </c>
      <c r="AR11" s="129">
        <v>90.1417</v>
      </c>
      <c r="AS11" s="129">
        <v>108</v>
      </c>
      <c r="AT11" s="129">
        <v>142</v>
      </c>
      <c r="AU11" s="261">
        <v>91</v>
      </c>
      <c r="AV11" s="129">
        <v>133</v>
      </c>
      <c r="AW11" s="129">
        <v>197</v>
      </c>
      <c r="AX11" s="129">
        <v>139</v>
      </c>
      <c r="AY11" s="129">
        <v>160</v>
      </c>
      <c r="AZ11" s="261">
        <v>157</v>
      </c>
      <c r="BA11" s="129">
        <v>87</v>
      </c>
      <c r="BB11" s="129">
        <v>55.173999999999999</v>
      </c>
      <c r="BC11" s="129">
        <v>69</v>
      </c>
      <c r="BD11" s="129">
        <v>67.515500000000003</v>
      </c>
      <c r="BE11" s="261">
        <v>69.663200000000003</v>
      </c>
      <c r="BF11" s="129">
        <v>53</v>
      </c>
      <c r="BG11" s="129">
        <v>30.4909</v>
      </c>
      <c r="BH11" s="177">
        <v>20.569299999999998</v>
      </c>
      <c r="BI11" s="177">
        <v>49</v>
      </c>
      <c r="BJ11" s="267">
        <v>38</v>
      </c>
      <c r="BK11" s="129">
        <v>51.786099999999998</v>
      </c>
      <c r="BL11" s="129"/>
      <c r="BM11" s="177"/>
      <c r="BN11" s="177"/>
      <c r="BO11" s="267"/>
    </row>
    <row r="12" spans="2:67" s="5" customFormat="1" ht="13.5" customHeight="1">
      <c r="B12" s="115" t="str">
        <f>names!A82</f>
        <v>Modelowa marża downstream (USD/bbl) 2)</v>
      </c>
      <c r="C12" s="192">
        <v>12.4</v>
      </c>
      <c r="D12" s="192">
        <v>12.1</v>
      </c>
      <c r="E12" s="192">
        <v>9.5</v>
      </c>
      <c r="F12" s="192">
        <v>9</v>
      </c>
      <c r="G12" s="255">
        <v>10.7</v>
      </c>
      <c r="H12" s="192">
        <v>9.5</v>
      </c>
      <c r="I12" s="192">
        <v>10.4</v>
      </c>
      <c r="J12" s="192">
        <v>12.9</v>
      </c>
      <c r="K12" s="196">
        <v>12.6</v>
      </c>
      <c r="L12" s="262">
        <v>11.4</v>
      </c>
      <c r="M12" s="196">
        <v>12.6</v>
      </c>
      <c r="N12" s="196">
        <v>15.1</v>
      </c>
      <c r="O12" s="196">
        <v>15.5</v>
      </c>
      <c r="P12" s="196">
        <v>12</v>
      </c>
      <c r="Q12" s="262">
        <v>13.8</v>
      </c>
      <c r="R12" s="196">
        <v>11.7</v>
      </c>
      <c r="S12" s="196">
        <v>12.2</v>
      </c>
      <c r="T12" s="196">
        <v>11</v>
      </c>
      <c r="U12" s="196">
        <v>12</v>
      </c>
      <c r="V12" s="262">
        <v>11.7</v>
      </c>
      <c r="W12" s="196">
        <v>12.1</v>
      </c>
      <c r="X12" s="196">
        <v>13.6</v>
      </c>
      <c r="Y12" s="196">
        <v>13.9</v>
      </c>
      <c r="Z12" s="196">
        <v>11.5</v>
      </c>
      <c r="AA12" s="262">
        <v>12.8</v>
      </c>
      <c r="AB12" s="196">
        <v>11.4</v>
      </c>
      <c r="AC12" s="196">
        <v>12.4</v>
      </c>
      <c r="AD12" s="196">
        <v>12.8</v>
      </c>
      <c r="AE12" s="196">
        <v>12.1</v>
      </c>
      <c r="AF12" s="262">
        <v>12.2</v>
      </c>
      <c r="AG12" s="196">
        <v>10</v>
      </c>
      <c r="AH12" s="196">
        <v>11.1</v>
      </c>
      <c r="AI12" s="196">
        <v>12.7</v>
      </c>
      <c r="AJ12" s="196">
        <v>9.1</v>
      </c>
      <c r="AK12" s="262">
        <v>10.7</v>
      </c>
      <c r="AL12" s="196">
        <v>11</v>
      </c>
      <c r="AM12" s="196">
        <v>7.3</v>
      </c>
      <c r="AN12" s="196">
        <v>5.4</v>
      </c>
      <c r="AO12" s="196">
        <v>5.4</v>
      </c>
      <c r="AP12" s="262">
        <v>7.3</v>
      </c>
      <c r="AQ12" s="196">
        <v>7.1</v>
      </c>
      <c r="AR12" s="196">
        <v>9.8000000000000007</v>
      </c>
      <c r="AS12" s="196">
        <v>9.8000000000000007</v>
      </c>
      <c r="AT12" s="196">
        <v>7.6</v>
      </c>
      <c r="AU12" s="262">
        <v>8.6</v>
      </c>
      <c r="AV12" s="196" t="s">
        <v>249</v>
      </c>
      <c r="AW12" s="196" t="s">
        <v>249</v>
      </c>
      <c r="AX12" s="196" t="s">
        <v>249</v>
      </c>
      <c r="AY12" s="196" t="s">
        <v>249</v>
      </c>
      <c r="AZ12" s="262" t="s">
        <v>249</v>
      </c>
      <c r="BA12" s="196" t="s">
        <v>249</v>
      </c>
      <c r="BB12" s="196" t="s">
        <v>249</v>
      </c>
      <c r="BC12" s="196" t="s">
        <v>249</v>
      </c>
      <c r="BD12" s="196" t="s">
        <v>249</v>
      </c>
      <c r="BE12" s="262" t="s">
        <v>249</v>
      </c>
      <c r="BF12" s="196" t="s">
        <v>249</v>
      </c>
      <c r="BG12" s="196" t="s">
        <v>249</v>
      </c>
      <c r="BH12" s="197" t="s">
        <v>249</v>
      </c>
      <c r="BI12" s="197" t="s">
        <v>249</v>
      </c>
      <c r="BJ12" s="263" t="s">
        <v>249</v>
      </c>
      <c r="BK12" s="196" t="s">
        <v>249</v>
      </c>
      <c r="BL12" s="196"/>
      <c r="BM12" s="197"/>
      <c r="BN12" s="197"/>
      <c r="BO12" s="263"/>
    </row>
    <row r="13" spans="2:67" s="5" customFormat="1" ht="13.5" customHeight="1">
      <c r="B13" s="115" t="str">
        <f>names!A83</f>
        <v>Modelowa marża rafineryjna (USD/bbl) 3)</v>
      </c>
      <c r="C13" s="192">
        <v>4.0999999999999996</v>
      </c>
      <c r="D13" s="192">
        <v>5.3</v>
      </c>
      <c r="E13" s="192">
        <v>3.3</v>
      </c>
      <c r="F13" s="192">
        <v>0.7</v>
      </c>
      <c r="G13" s="255">
        <v>3.4</v>
      </c>
      <c r="H13" s="192">
        <v>1.3</v>
      </c>
      <c r="I13" s="192">
        <v>2.5</v>
      </c>
      <c r="J13" s="192">
        <v>4.8</v>
      </c>
      <c r="K13" s="196">
        <v>5</v>
      </c>
      <c r="L13" s="262">
        <v>3.4</v>
      </c>
      <c r="M13" s="196">
        <v>7.5</v>
      </c>
      <c r="N13" s="196">
        <v>9.6999999999999993</v>
      </c>
      <c r="O13" s="196">
        <v>9.9</v>
      </c>
      <c r="P13" s="196">
        <v>5.5</v>
      </c>
      <c r="Q13" s="262">
        <v>8.1999999999999993</v>
      </c>
      <c r="R13" s="196">
        <v>5.3</v>
      </c>
      <c r="S13" s="196">
        <v>6</v>
      </c>
      <c r="T13" s="196">
        <v>4.3</v>
      </c>
      <c r="U13" s="196">
        <v>5.8</v>
      </c>
      <c r="V13" s="262">
        <v>5.3</v>
      </c>
      <c r="W13" s="196">
        <v>5.3</v>
      </c>
      <c r="X13" s="196">
        <v>6.9</v>
      </c>
      <c r="Y13" s="196">
        <v>7.9</v>
      </c>
      <c r="Z13" s="196">
        <v>5.3</v>
      </c>
      <c r="AA13" s="262">
        <v>6.4</v>
      </c>
      <c r="AB13" s="196">
        <v>4</v>
      </c>
      <c r="AC13" s="196">
        <v>5.2</v>
      </c>
      <c r="AD13" s="196">
        <v>6.2</v>
      </c>
      <c r="AE13" s="196">
        <v>4.8</v>
      </c>
      <c r="AF13" s="262">
        <v>5.0999999999999996</v>
      </c>
      <c r="AG13" s="196">
        <v>4.4000000000000004</v>
      </c>
      <c r="AH13" s="196">
        <v>5.9</v>
      </c>
      <c r="AI13" s="196">
        <v>7.1</v>
      </c>
      <c r="AJ13" s="196">
        <v>3.2</v>
      </c>
      <c r="AK13" s="262">
        <v>5.2</v>
      </c>
      <c r="AL13" s="196">
        <v>3.4</v>
      </c>
      <c r="AM13" s="196">
        <v>3.2</v>
      </c>
      <c r="AN13" s="196">
        <v>1.2</v>
      </c>
      <c r="AO13" s="196">
        <v>1</v>
      </c>
      <c r="AP13" s="262">
        <v>2.2000000000000002</v>
      </c>
      <c r="AQ13" s="196">
        <v>0.5</v>
      </c>
      <c r="AR13" s="196">
        <v>1.5</v>
      </c>
      <c r="AS13" s="196">
        <v>3.1</v>
      </c>
      <c r="AT13" s="196">
        <v>4.5</v>
      </c>
      <c r="AU13" s="262">
        <v>2.4</v>
      </c>
      <c r="AV13" s="196">
        <v>6</v>
      </c>
      <c r="AW13" s="196">
        <v>26.5</v>
      </c>
      <c r="AX13" s="196">
        <v>16.399999999999999</v>
      </c>
      <c r="AY13" s="196">
        <v>22</v>
      </c>
      <c r="AZ13" s="262">
        <v>17.600000000000001</v>
      </c>
      <c r="BA13" s="196">
        <v>18.3</v>
      </c>
      <c r="BB13" s="196">
        <v>13.8</v>
      </c>
      <c r="BC13" s="196">
        <v>21.9</v>
      </c>
      <c r="BD13" s="196">
        <v>13.9</v>
      </c>
      <c r="BE13" s="262">
        <v>17</v>
      </c>
      <c r="BF13" s="196">
        <v>16</v>
      </c>
      <c r="BG13" s="196">
        <v>12.6</v>
      </c>
      <c r="BH13" s="197">
        <v>7.7</v>
      </c>
      <c r="BI13" s="197">
        <v>7.7</v>
      </c>
      <c r="BJ13" s="587">
        <v>11</v>
      </c>
      <c r="BK13" s="196">
        <v>8.6999999999999993</v>
      </c>
      <c r="BL13" s="196"/>
      <c r="BM13" s="197"/>
      <c r="BN13" s="197"/>
      <c r="BO13" s="587"/>
    </row>
    <row r="14" spans="2:67" s="5" customFormat="1" ht="13.5" customHeight="1">
      <c r="B14" s="115" t="str">
        <f>names!A84</f>
        <v>Modelowa marża petrochemiczna (EUR/t) 4)</v>
      </c>
      <c r="C14" s="23">
        <v>737</v>
      </c>
      <c r="D14" s="23">
        <v>729</v>
      </c>
      <c r="E14" s="23">
        <v>719</v>
      </c>
      <c r="F14" s="23">
        <v>736</v>
      </c>
      <c r="G14" s="253">
        <v>730</v>
      </c>
      <c r="H14" s="23">
        <v>756</v>
      </c>
      <c r="I14" s="23">
        <v>741</v>
      </c>
      <c r="J14" s="23">
        <v>782</v>
      </c>
      <c r="K14" s="431">
        <v>844</v>
      </c>
      <c r="L14" s="495">
        <v>781</v>
      </c>
      <c r="M14" s="431">
        <v>746</v>
      </c>
      <c r="N14" s="431">
        <v>1035</v>
      </c>
      <c r="O14" s="431">
        <v>1113</v>
      </c>
      <c r="P14" s="431">
        <v>960</v>
      </c>
      <c r="Q14" s="495">
        <v>968</v>
      </c>
      <c r="R14" s="431">
        <v>998</v>
      </c>
      <c r="S14" s="431">
        <v>982</v>
      </c>
      <c r="T14" s="431">
        <v>957</v>
      </c>
      <c r="U14" s="431">
        <v>906</v>
      </c>
      <c r="V14" s="495">
        <v>960</v>
      </c>
      <c r="W14" s="431">
        <v>930</v>
      </c>
      <c r="X14" s="431">
        <v>1003</v>
      </c>
      <c r="Y14" s="431">
        <v>911</v>
      </c>
      <c r="Z14" s="431">
        <v>890</v>
      </c>
      <c r="AA14" s="495">
        <v>933</v>
      </c>
      <c r="AB14" s="431">
        <v>902</v>
      </c>
      <c r="AC14" s="431">
        <v>853</v>
      </c>
      <c r="AD14" s="431">
        <v>870</v>
      </c>
      <c r="AE14" s="431">
        <v>921</v>
      </c>
      <c r="AF14" s="495">
        <v>885</v>
      </c>
      <c r="AG14" s="431">
        <v>885</v>
      </c>
      <c r="AH14" s="431">
        <v>906</v>
      </c>
      <c r="AI14" s="431">
        <v>859</v>
      </c>
      <c r="AJ14" s="431">
        <v>785</v>
      </c>
      <c r="AK14" s="495">
        <v>859</v>
      </c>
      <c r="AL14" s="431">
        <v>845</v>
      </c>
      <c r="AM14" s="431">
        <v>846</v>
      </c>
      <c r="AN14" s="431">
        <v>828</v>
      </c>
      <c r="AO14" s="431">
        <v>840</v>
      </c>
      <c r="AP14" s="673">
        <v>839</v>
      </c>
      <c r="AQ14" s="431">
        <v>1044</v>
      </c>
      <c r="AR14" s="431">
        <v>1473</v>
      </c>
      <c r="AS14" s="431">
        <v>1318</v>
      </c>
      <c r="AT14" s="431">
        <v>1253</v>
      </c>
      <c r="AU14" s="674">
        <v>1273</v>
      </c>
      <c r="AV14" s="431">
        <v>1166</v>
      </c>
      <c r="AW14" s="431">
        <v>1405</v>
      </c>
      <c r="AX14" s="431">
        <v>1155</v>
      </c>
      <c r="AY14" s="431">
        <v>1056</v>
      </c>
      <c r="AZ14" s="674">
        <v>1190</v>
      </c>
      <c r="BA14" s="431">
        <v>1018</v>
      </c>
      <c r="BB14" s="431" t="s">
        <v>249</v>
      </c>
      <c r="BC14" s="431" t="s">
        <v>249</v>
      </c>
      <c r="BD14" s="431" t="s">
        <v>249</v>
      </c>
      <c r="BE14" s="674" t="s">
        <v>249</v>
      </c>
      <c r="BF14" s="431" t="s">
        <v>249</v>
      </c>
      <c r="BG14" s="431" t="s">
        <v>249</v>
      </c>
      <c r="BH14" s="142" t="s">
        <v>249</v>
      </c>
      <c r="BI14" s="142" t="s">
        <v>249</v>
      </c>
      <c r="BJ14" s="512" t="s">
        <v>249</v>
      </c>
      <c r="BK14" s="431" t="s">
        <v>249</v>
      </c>
      <c r="BL14" s="431"/>
      <c r="BM14" s="142"/>
      <c r="BN14" s="142"/>
      <c r="BO14" s="512"/>
    </row>
    <row r="15" spans="2:67" s="5" customFormat="1" ht="13.5" customHeight="1">
      <c r="B15" s="118" t="str">
        <f>names!A85</f>
        <v>Modelowa marża olefinowa (EUR/t) 5)</v>
      </c>
      <c r="C15" s="191">
        <v>493</v>
      </c>
      <c r="D15" s="191">
        <v>482</v>
      </c>
      <c r="E15" s="191">
        <v>448</v>
      </c>
      <c r="F15" s="191">
        <v>462</v>
      </c>
      <c r="G15" s="254">
        <v>471</v>
      </c>
      <c r="H15" s="191">
        <v>477</v>
      </c>
      <c r="I15" s="191">
        <v>456</v>
      </c>
      <c r="J15" s="191">
        <v>495</v>
      </c>
      <c r="K15" s="129">
        <v>517</v>
      </c>
      <c r="L15" s="261">
        <v>486</v>
      </c>
      <c r="M15" s="129">
        <v>386</v>
      </c>
      <c r="N15" s="129">
        <v>490</v>
      </c>
      <c r="O15" s="129">
        <v>543</v>
      </c>
      <c r="P15" s="129">
        <v>414</v>
      </c>
      <c r="Q15" s="261">
        <v>460</v>
      </c>
      <c r="R15" s="129">
        <v>347</v>
      </c>
      <c r="S15" s="129">
        <v>336</v>
      </c>
      <c r="T15" s="129">
        <v>372</v>
      </c>
      <c r="U15" s="129">
        <v>335</v>
      </c>
      <c r="V15" s="261">
        <v>347</v>
      </c>
      <c r="W15" s="129">
        <v>387</v>
      </c>
      <c r="X15" s="129">
        <v>469</v>
      </c>
      <c r="Y15" s="129">
        <v>390</v>
      </c>
      <c r="Z15" s="129">
        <v>363</v>
      </c>
      <c r="AA15" s="261">
        <v>402</v>
      </c>
      <c r="AB15" s="129">
        <v>399</v>
      </c>
      <c r="AC15" s="129">
        <v>374</v>
      </c>
      <c r="AD15" s="129">
        <v>386</v>
      </c>
      <c r="AE15" s="129">
        <v>442</v>
      </c>
      <c r="AF15" s="261">
        <v>400</v>
      </c>
      <c r="AG15" s="129">
        <v>383</v>
      </c>
      <c r="AH15" s="129">
        <v>398</v>
      </c>
      <c r="AI15" s="129">
        <v>368</v>
      </c>
      <c r="AJ15" s="129">
        <v>302</v>
      </c>
      <c r="AK15" s="261">
        <v>363</v>
      </c>
      <c r="AL15" s="129">
        <v>383</v>
      </c>
      <c r="AM15" s="129">
        <v>325</v>
      </c>
      <c r="AN15" s="129">
        <v>299</v>
      </c>
      <c r="AO15" s="129">
        <v>307</v>
      </c>
      <c r="AP15" s="261">
        <v>328</v>
      </c>
      <c r="AQ15" s="129">
        <v>319</v>
      </c>
      <c r="AR15" s="129">
        <v>389</v>
      </c>
      <c r="AS15" s="129">
        <v>417</v>
      </c>
      <c r="AT15" s="129">
        <v>419</v>
      </c>
      <c r="AU15" s="261">
        <v>386</v>
      </c>
      <c r="AV15" s="129">
        <v>347</v>
      </c>
      <c r="AW15" s="129">
        <v>537</v>
      </c>
      <c r="AX15" s="129">
        <v>492</v>
      </c>
      <c r="AY15" s="129">
        <v>411</v>
      </c>
      <c r="AZ15" s="261">
        <v>447</v>
      </c>
      <c r="BA15" s="129">
        <v>354</v>
      </c>
      <c r="BB15" s="129" t="s">
        <v>249</v>
      </c>
      <c r="BC15" s="129" t="s">
        <v>249</v>
      </c>
      <c r="BD15" s="129" t="s">
        <v>249</v>
      </c>
      <c r="BE15" s="261" t="s">
        <v>249</v>
      </c>
      <c r="BF15" s="129" t="s">
        <v>249</v>
      </c>
      <c r="BG15" s="129" t="s">
        <v>249</v>
      </c>
      <c r="BH15" s="129" t="s">
        <v>249</v>
      </c>
      <c r="BI15" s="129" t="s">
        <v>249</v>
      </c>
      <c r="BJ15" s="261" t="s">
        <v>249</v>
      </c>
      <c r="BK15" s="129" t="s">
        <v>249</v>
      </c>
      <c r="BL15" s="129"/>
      <c r="BM15" s="129"/>
      <c r="BN15" s="129"/>
      <c r="BO15" s="261"/>
    </row>
    <row r="16" spans="2:67" s="5" customFormat="1" ht="13.5" customHeight="1">
      <c r="B16" s="115" t="str">
        <f>names!A86</f>
        <v>Energia elektryczna (PLN/MWh)  6)</v>
      </c>
      <c r="C16" s="23" t="s">
        <v>249</v>
      </c>
      <c r="D16" s="23" t="s">
        <v>249</v>
      </c>
      <c r="E16" s="23" t="s">
        <v>249</v>
      </c>
      <c r="F16" s="23" t="s">
        <v>249</v>
      </c>
      <c r="G16" s="253" t="s">
        <v>249</v>
      </c>
      <c r="H16" s="23" t="s">
        <v>249</v>
      </c>
      <c r="I16" s="23" t="s">
        <v>249</v>
      </c>
      <c r="J16" s="23" t="s">
        <v>249</v>
      </c>
      <c r="K16" s="431" t="s">
        <v>249</v>
      </c>
      <c r="L16" s="495" t="s">
        <v>249</v>
      </c>
      <c r="M16" s="431">
        <v>147</v>
      </c>
      <c r="N16" s="431">
        <v>155</v>
      </c>
      <c r="O16" s="431">
        <v>172</v>
      </c>
      <c r="P16" s="431">
        <v>155</v>
      </c>
      <c r="Q16" s="495">
        <v>157</v>
      </c>
      <c r="R16" s="431">
        <v>152</v>
      </c>
      <c r="S16" s="431">
        <v>174</v>
      </c>
      <c r="T16" s="431">
        <v>149</v>
      </c>
      <c r="U16" s="431">
        <v>162</v>
      </c>
      <c r="V16" s="495">
        <v>160</v>
      </c>
      <c r="W16" s="431">
        <v>155</v>
      </c>
      <c r="X16" s="431">
        <v>148</v>
      </c>
      <c r="Y16" s="431">
        <v>163</v>
      </c>
      <c r="Z16" s="431">
        <v>165</v>
      </c>
      <c r="AA16" s="495">
        <v>158</v>
      </c>
      <c r="AB16" s="431">
        <v>184</v>
      </c>
      <c r="AC16" s="431">
        <v>210</v>
      </c>
      <c r="AD16" s="431">
        <v>252</v>
      </c>
      <c r="AE16" s="431">
        <v>245</v>
      </c>
      <c r="AF16" s="495">
        <v>223</v>
      </c>
      <c r="AG16" s="431">
        <v>218</v>
      </c>
      <c r="AH16" s="431">
        <v>239</v>
      </c>
      <c r="AI16" s="431">
        <v>250</v>
      </c>
      <c r="AJ16" s="431">
        <v>212</v>
      </c>
      <c r="AK16" s="495">
        <v>230</v>
      </c>
      <c r="AL16" s="431">
        <v>176.97109890109894</v>
      </c>
      <c r="AM16" s="431">
        <v>180</v>
      </c>
      <c r="AN16" s="431">
        <v>231</v>
      </c>
      <c r="AO16" s="431">
        <v>246</v>
      </c>
      <c r="AP16" s="495">
        <v>208.5</v>
      </c>
      <c r="AQ16" s="431">
        <v>264</v>
      </c>
      <c r="AR16" s="431">
        <v>305</v>
      </c>
      <c r="AS16" s="431">
        <v>404</v>
      </c>
      <c r="AT16" s="431">
        <v>616</v>
      </c>
      <c r="AU16" s="495">
        <v>398</v>
      </c>
      <c r="AV16" s="431">
        <v>625</v>
      </c>
      <c r="AW16" s="431">
        <v>702</v>
      </c>
      <c r="AX16" s="431">
        <v>1067</v>
      </c>
      <c r="AY16" s="431">
        <v>750</v>
      </c>
      <c r="AZ16" s="495">
        <v>787</v>
      </c>
      <c r="BA16" s="431">
        <v>619</v>
      </c>
      <c r="BB16" s="431">
        <v>527</v>
      </c>
      <c r="BC16" s="431">
        <v>504</v>
      </c>
      <c r="BD16" s="431">
        <v>400</v>
      </c>
      <c r="BE16" s="495">
        <v>512</v>
      </c>
      <c r="BF16" s="431">
        <v>355</v>
      </c>
      <c r="BG16" s="431">
        <v>397</v>
      </c>
      <c r="BH16" s="431">
        <v>435</v>
      </c>
      <c r="BI16" s="431">
        <v>473</v>
      </c>
      <c r="BJ16" s="495">
        <v>415</v>
      </c>
      <c r="BK16" s="431">
        <v>490</v>
      </c>
      <c r="BL16" s="431"/>
      <c r="BM16" s="431"/>
      <c r="BN16" s="431"/>
      <c r="BO16" s="495"/>
    </row>
    <row r="17" spans="2:67" s="5" customFormat="1" ht="13.5" customHeight="1">
      <c r="B17" s="118" t="str">
        <f>names!A87</f>
        <v>Gaz ziemny (PLN/MWh)  6)</v>
      </c>
      <c r="C17" s="191" t="s">
        <v>249</v>
      </c>
      <c r="D17" s="191" t="s">
        <v>249</v>
      </c>
      <c r="E17" s="191" t="s">
        <v>249</v>
      </c>
      <c r="F17" s="191" t="s">
        <v>249</v>
      </c>
      <c r="G17" s="254" t="s">
        <v>249</v>
      </c>
      <c r="H17" s="191" t="s">
        <v>249</v>
      </c>
      <c r="I17" s="191" t="s">
        <v>249</v>
      </c>
      <c r="J17" s="191" t="s">
        <v>249</v>
      </c>
      <c r="K17" s="129" t="s">
        <v>249</v>
      </c>
      <c r="L17" s="261" t="s">
        <v>249</v>
      </c>
      <c r="M17" s="129">
        <v>98</v>
      </c>
      <c r="N17" s="129">
        <v>92</v>
      </c>
      <c r="O17" s="129">
        <v>87</v>
      </c>
      <c r="P17" s="129">
        <v>77</v>
      </c>
      <c r="Q17" s="261">
        <v>89</v>
      </c>
      <c r="R17" s="129">
        <v>65</v>
      </c>
      <c r="S17" s="129">
        <v>63</v>
      </c>
      <c r="T17" s="129">
        <v>62</v>
      </c>
      <c r="U17" s="129">
        <v>81</v>
      </c>
      <c r="V17" s="261">
        <v>67</v>
      </c>
      <c r="W17" s="129">
        <v>86</v>
      </c>
      <c r="X17" s="129">
        <v>72</v>
      </c>
      <c r="Y17" s="129">
        <v>73</v>
      </c>
      <c r="Z17" s="129">
        <v>88</v>
      </c>
      <c r="AA17" s="261">
        <v>80</v>
      </c>
      <c r="AB17" s="129">
        <v>95</v>
      </c>
      <c r="AC17" s="129">
        <v>94</v>
      </c>
      <c r="AD17" s="129">
        <v>111</v>
      </c>
      <c r="AE17" s="129">
        <v>113</v>
      </c>
      <c r="AF17" s="261">
        <v>103</v>
      </c>
      <c r="AG17" s="129">
        <v>88</v>
      </c>
      <c r="AH17" s="129">
        <v>63</v>
      </c>
      <c r="AI17" s="129">
        <v>50</v>
      </c>
      <c r="AJ17" s="129">
        <v>63</v>
      </c>
      <c r="AK17" s="261">
        <v>66</v>
      </c>
      <c r="AL17" s="129">
        <v>53</v>
      </c>
      <c r="AM17" s="129">
        <v>33</v>
      </c>
      <c r="AN17" s="129">
        <v>41</v>
      </c>
      <c r="AO17" s="129">
        <v>75</v>
      </c>
      <c r="AP17" s="261">
        <v>51</v>
      </c>
      <c r="AQ17" s="129">
        <v>96</v>
      </c>
      <c r="AR17" s="129">
        <v>123</v>
      </c>
      <c r="AS17" s="129">
        <v>227</v>
      </c>
      <c r="AT17" s="129">
        <v>449</v>
      </c>
      <c r="AU17" s="261">
        <v>225</v>
      </c>
      <c r="AV17" s="129">
        <v>478</v>
      </c>
      <c r="AW17" s="129">
        <v>470</v>
      </c>
      <c r="AX17" s="129">
        <v>952</v>
      </c>
      <c r="AY17" s="129">
        <v>466</v>
      </c>
      <c r="AZ17" s="261">
        <v>593</v>
      </c>
      <c r="BA17" s="129">
        <v>272</v>
      </c>
      <c r="BB17" s="129">
        <v>173</v>
      </c>
      <c r="BC17" s="129">
        <v>169</v>
      </c>
      <c r="BD17" s="129">
        <v>195</v>
      </c>
      <c r="BE17" s="261">
        <v>202</v>
      </c>
      <c r="BF17" s="129">
        <v>142</v>
      </c>
      <c r="BG17" s="129">
        <v>152</v>
      </c>
      <c r="BH17" s="129">
        <v>172</v>
      </c>
      <c r="BI17" s="129">
        <v>212</v>
      </c>
      <c r="BJ17" s="261">
        <v>170</v>
      </c>
      <c r="BK17" s="129">
        <v>219</v>
      </c>
      <c r="BL17" s="129"/>
      <c r="BM17" s="129"/>
      <c r="BN17" s="129"/>
      <c r="BO17" s="261"/>
    </row>
    <row r="18" spans="2:67" s="5" customFormat="1" ht="11.25">
      <c r="B18" s="115"/>
      <c r="C18" s="23"/>
      <c r="D18" s="23"/>
      <c r="E18" s="23"/>
      <c r="F18" s="23"/>
      <c r="G18" s="253"/>
      <c r="H18" s="23"/>
      <c r="I18" s="23"/>
      <c r="J18" s="23"/>
      <c r="K18" s="431"/>
      <c r="L18" s="495"/>
      <c r="M18" s="431"/>
      <c r="N18" s="431"/>
      <c r="O18" s="431"/>
      <c r="P18" s="431"/>
      <c r="Q18" s="495"/>
      <c r="R18" s="431"/>
      <c r="S18" s="431"/>
      <c r="T18" s="431"/>
      <c r="U18" s="431"/>
      <c r="V18" s="495"/>
      <c r="W18" s="431"/>
      <c r="X18" s="431"/>
      <c r="Y18" s="431"/>
      <c r="Z18" s="431"/>
      <c r="AA18" s="495"/>
      <c r="AB18" s="431"/>
      <c r="AC18" s="431"/>
      <c r="AD18" s="431"/>
      <c r="AE18" s="431"/>
      <c r="AF18" s="495"/>
      <c r="AG18" s="431"/>
      <c r="AH18" s="431"/>
      <c r="AI18" s="431"/>
      <c r="AJ18" s="431"/>
      <c r="AK18" s="495"/>
      <c r="AL18" s="431"/>
      <c r="AM18" s="431"/>
      <c r="AN18" s="431"/>
      <c r="AO18" s="431"/>
      <c r="AP18" s="495"/>
      <c r="AQ18" s="431"/>
      <c r="AR18" s="431"/>
      <c r="AS18" s="431"/>
      <c r="AT18" s="431"/>
      <c r="AU18" s="495"/>
      <c r="AV18" s="431"/>
      <c r="AW18" s="431"/>
      <c r="AX18" s="431"/>
      <c r="AY18" s="431"/>
      <c r="AZ18" s="495"/>
      <c r="BA18" s="431"/>
      <c r="BB18" s="431"/>
      <c r="BC18" s="431"/>
      <c r="BD18" s="431"/>
      <c r="BE18" s="495"/>
      <c r="BF18" s="431"/>
      <c r="BG18" s="431"/>
      <c r="BH18" s="431"/>
      <c r="BI18" s="431"/>
      <c r="BJ18" s="495"/>
      <c r="BK18" s="431"/>
      <c r="BL18" s="431"/>
      <c r="BM18" s="431"/>
      <c r="BN18" s="431"/>
      <c r="BO18" s="495"/>
    </row>
    <row r="19" spans="2:67" s="5" customFormat="1" ht="22.5" customHeight="1" thickBot="1">
      <c r="B19" s="121" t="str">
        <f>names!A89</f>
        <v xml:space="preserve">Marże (crack) z notowań </v>
      </c>
      <c r="C19" s="193"/>
      <c r="D19" s="193"/>
      <c r="E19" s="193"/>
      <c r="F19" s="193"/>
      <c r="G19" s="256"/>
      <c r="H19" s="193"/>
      <c r="I19" s="193"/>
      <c r="J19" s="193"/>
      <c r="K19" s="432"/>
      <c r="L19" s="675"/>
      <c r="M19" s="432"/>
      <c r="N19" s="432"/>
      <c r="O19" s="432"/>
      <c r="P19" s="432"/>
      <c r="Q19" s="675"/>
      <c r="R19" s="432"/>
      <c r="S19" s="432"/>
      <c r="T19" s="432"/>
      <c r="U19" s="432"/>
      <c r="V19" s="675"/>
      <c r="W19" s="432"/>
      <c r="X19" s="432"/>
      <c r="Y19" s="432"/>
      <c r="Z19" s="432"/>
      <c r="AA19" s="675"/>
      <c r="AB19" s="432"/>
      <c r="AC19" s="432"/>
      <c r="AD19" s="432"/>
      <c r="AE19" s="432"/>
      <c r="AF19" s="675"/>
      <c r="AG19" s="432"/>
      <c r="AH19" s="432"/>
      <c r="AI19" s="432"/>
      <c r="AJ19" s="432"/>
      <c r="AK19" s="675"/>
      <c r="AL19" s="432"/>
      <c r="AM19" s="432"/>
      <c r="AN19" s="432"/>
      <c r="AO19" s="432"/>
      <c r="AP19" s="675"/>
      <c r="AQ19" s="432"/>
      <c r="AR19" s="432"/>
      <c r="AS19" s="432"/>
      <c r="AT19" s="432"/>
      <c r="AU19" s="675"/>
      <c r="AV19" s="432"/>
      <c r="AW19" s="432"/>
      <c r="AX19" s="432"/>
      <c r="AY19" s="432"/>
      <c r="AZ19" s="675"/>
      <c r="BA19" s="432"/>
      <c r="BB19" s="432"/>
      <c r="BC19" s="432"/>
      <c r="BD19" s="432"/>
      <c r="BE19" s="675"/>
      <c r="BF19" s="432"/>
      <c r="BG19" s="432"/>
      <c r="BH19" s="143"/>
      <c r="BI19" s="143"/>
      <c r="BJ19" s="264"/>
      <c r="BK19" s="432"/>
      <c r="BL19" s="432"/>
      <c r="BM19" s="143"/>
      <c r="BN19" s="143"/>
      <c r="BO19" s="264"/>
    </row>
    <row r="20" spans="2:67" s="5" customFormat="1" ht="12" thickBot="1">
      <c r="B20" s="119" t="str">
        <f>names!A90</f>
        <v>Produkty rafineryjne (USD/t)  7)</v>
      </c>
      <c r="C20" s="194"/>
      <c r="D20" s="194"/>
      <c r="E20" s="194"/>
      <c r="F20" s="194"/>
      <c r="G20" s="257"/>
      <c r="H20" s="194"/>
      <c r="I20" s="194"/>
      <c r="J20" s="194"/>
      <c r="K20" s="433"/>
      <c r="L20" s="676"/>
      <c r="M20" s="433"/>
      <c r="N20" s="433"/>
      <c r="O20" s="433"/>
      <c r="P20" s="433"/>
      <c r="Q20" s="676"/>
      <c r="R20" s="433"/>
      <c r="S20" s="433"/>
      <c r="T20" s="433"/>
      <c r="U20" s="433"/>
      <c r="V20" s="676"/>
      <c r="W20" s="433"/>
      <c r="X20" s="433"/>
      <c r="Y20" s="433"/>
      <c r="Z20" s="433"/>
      <c r="AA20" s="676"/>
      <c r="AB20" s="433"/>
      <c r="AC20" s="433"/>
      <c r="AD20" s="433"/>
      <c r="AE20" s="433"/>
      <c r="AF20" s="676"/>
      <c r="AG20" s="433"/>
      <c r="AH20" s="433"/>
      <c r="AI20" s="433"/>
      <c r="AJ20" s="433"/>
      <c r="AK20" s="676"/>
      <c r="AL20" s="433"/>
      <c r="AM20" s="433"/>
      <c r="AN20" s="433"/>
      <c r="AO20" s="433"/>
      <c r="AP20" s="676"/>
      <c r="AQ20" s="433"/>
      <c r="AR20" s="433"/>
      <c r="AS20" s="433"/>
      <c r="AT20" s="433"/>
      <c r="AU20" s="676"/>
      <c r="AV20" s="433"/>
      <c r="AW20" s="433"/>
      <c r="AX20" s="433"/>
      <c r="AY20" s="433"/>
      <c r="AZ20" s="676"/>
      <c r="BA20" s="433"/>
      <c r="BB20" s="433"/>
      <c r="BC20" s="433"/>
      <c r="BD20" s="433"/>
      <c r="BE20" s="676"/>
      <c r="BF20" s="433"/>
      <c r="BG20" s="433"/>
      <c r="BH20" s="144"/>
      <c r="BI20" s="144"/>
      <c r="BJ20" s="265"/>
      <c r="BK20" s="433"/>
      <c r="BL20" s="433"/>
      <c r="BM20" s="144"/>
      <c r="BN20" s="144"/>
      <c r="BO20" s="265"/>
    </row>
    <row r="21" spans="2:67" s="5" customFormat="1" ht="13.5" customHeight="1">
      <c r="B21" s="115" t="str">
        <f>names!A91</f>
        <v>Benzyna</v>
      </c>
      <c r="C21" s="23">
        <v>186</v>
      </c>
      <c r="D21" s="23">
        <v>187</v>
      </c>
      <c r="E21" s="23">
        <v>176</v>
      </c>
      <c r="F21" s="23">
        <v>120</v>
      </c>
      <c r="G21" s="253">
        <v>167</v>
      </c>
      <c r="H21" s="23">
        <v>145</v>
      </c>
      <c r="I21" s="23">
        <v>195</v>
      </c>
      <c r="J21" s="23">
        <v>193</v>
      </c>
      <c r="K21" s="431">
        <v>135</v>
      </c>
      <c r="L21" s="495">
        <v>167</v>
      </c>
      <c r="M21" s="431">
        <v>140</v>
      </c>
      <c r="N21" s="431">
        <v>215</v>
      </c>
      <c r="O21" s="431">
        <v>212</v>
      </c>
      <c r="P21" s="431">
        <v>140</v>
      </c>
      <c r="Q21" s="495">
        <v>176.75</v>
      </c>
      <c r="R21" s="431">
        <v>143</v>
      </c>
      <c r="S21" s="431">
        <v>170</v>
      </c>
      <c r="T21" s="431">
        <v>125</v>
      </c>
      <c r="U21" s="431">
        <v>131</v>
      </c>
      <c r="V21" s="495">
        <v>142</v>
      </c>
      <c r="W21" s="431">
        <v>142</v>
      </c>
      <c r="X21" s="431">
        <v>161</v>
      </c>
      <c r="Y21" s="431">
        <v>164</v>
      </c>
      <c r="Z21" s="431">
        <v>139</v>
      </c>
      <c r="AA21" s="495">
        <v>151</v>
      </c>
      <c r="AB21" s="431">
        <v>133</v>
      </c>
      <c r="AC21" s="431">
        <v>160</v>
      </c>
      <c r="AD21" s="431">
        <v>171</v>
      </c>
      <c r="AE21" s="431">
        <v>87</v>
      </c>
      <c r="AF21" s="495">
        <v>138</v>
      </c>
      <c r="AG21" s="431">
        <v>77</v>
      </c>
      <c r="AH21" s="431">
        <v>163</v>
      </c>
      <c r="AI21" s="431">
        <v>154</v>
      </c>
      <c r="AJ21" s="431">
        <v>127</v>
      </c>
      <c r="AK21" s="495">
        <v>130</v>
      </c>
      <c r="AL21" s="431">
        <v>94</v>
      </c>
      <c r="AM21" s="431">
        <v>58</v>
      </c>
      <c r="AN21" s="431">
        <v>78</v>
      </c>
      <c r="AO21" s="431">
        <v>71</v>
      </c>
      <c r="AP21" s="495">
        <v>76</v>
      </c>
      <c r="AQ21" s="431">
        <v>104</v>
      </c>
      <c r="AR21" s="431">
        <v>144</v>
      </c>
      <c r="AS21" s="431">
        <v>175</v>
      </c>
      <c r="AT21" s="431">
        <v>178</v>
      </c>
      <c r="AU21" s="495">
        <v>151</v>
      </c>
      <c r="AV21" s="431">
        <v>187</v>
      </c>
      <c r="AW21" s="431">
        <v>432</v>
      </c>
      <c r="AX21" s="431">
        <v>287</v>
      </c>
      <c r="AY21" s="431">
        <v>251</v>
      </c>
      <c r="AZ21" s="495">
        <v>288</v>
      </c>
      <c r="BA21" s="431">
        <v>300</v>
      </c>
      <c r="BB21" s="431">
        <v>304</v>
      </c>
      <c r="BC21" s="431">
        <v>325</v>
      </c>
      <c r="BD21" s="431">
        <v>201</v>
      </c>
      <c r="BE21" s="495">
        <v>282</v>
      </c>
      <c r="BF21" s="431">
        <v>249</v>
      </c>
      <c r="BG21" s="431">
        <v>269</v>
      </c>
      <c r="BH21" s="142">
        <v>193</v>
      </c>
      <c r="BI21" s="142">
        <v>162</v>
      </c>
      <c r="BJ21" s="260">
        <v>217</v>
      </c>
      <c r="BK21" s="431">
        <v>167</v>
      </c>
      <c r="BL21" s="431"/>
      <c r="BM21" s="142"/>
      <c r="BN21" s="142"/>
      <c r="BO21" s="260"/>
    </row>
    <row r="22" spans="2:67" s="5" customFormat="1" ht="13.5" customHeight="1">
      <c r="B22" s="115" t="str">
        <f>names!A92</f>
        <v>ON</v>
      </c>
      <c r="C22" s="23">
        <v>124</v>
      </c>
      <c r="D22" s="23">
        <v>117</v>
      </c>
      <c r="E22" s="23">
        <v>117</v>
      </c>
      <c r="F22" s="23">
        <v>116</v>
      </c>
      <c r="G22" s="253">
        <v>119</v>
      </c>
      <c r="H22" s="23">
        <v>107</v>
      </c>
      <c r="I22" s="23">
        <v>91</v>
      </c>
      <c r="J22" s="23">
        <v>111</v>
      </c>
      <c r="K22" s="431">
        <v>122</v>
      </c>
      <c r="L22" s="495">
        <v>108</v>
      </c>
      <c r="M22" s="431">
        <v>123</v>
      </c>
      <c r="N22" s="431">
        <v>116</v>
      </c>
      <c r="O22" s="431">
        <v>108</v>
      </c>
      <c r="P22" s="431">
        <v>85</v>
      </c>
      <c r="Q22" s="495">
        <v>108</v>
      </c>
      <c r="R22" s="431">
        <v>60</v>
      </c>
      <c r="S22" s="431">
        <v>71</v>
      </c>
      <c r="T22" s="431">
        <v>66</v>
      </c>
      <c r="U22" s="431">
        <v>87</v>
      </c>
      <c r="V22" s="495">
        <v>71</v>
      </c>
      <c r="W22" s="431">
        <v>77</v>
      </c>
      <c r="X22" s="431">
        <v>79</v>
      </c>
      <c r="Y22" s="431">
        <v>96</v>
      </c>
      <c r="Z22" s="431">
        <v>91</v>
      </c>
      <c r="AA22" s="495">
        <v>86</v>
      </c>
      <c r="AB22" s="431">
        <v>87</v>
      </c>
      <c r="AC22" s="431">
        <v>97</v>
      </c>
      <c r="AD22" s="431">
        <v>101</v>
      </c>
      <c r="AE22" s="431">
        <v>124</v>
      </c>
      <c r="AF22" s="495">
        <v>102</v>
      </c>
      <c r="AG22" s="431">
        <v>113</v>
      </c>
      <c r="AH22" s="431">
        <v>92</v>
      </c>
      <c r="AI22" s="431">
        <v>115</v>
      </c>
      <c r="AJ22" s="431">
        <v>113</v>
      </c>
      <c r="AK22" s="495">
        <v>108</v>
      </c>
      <c r="AL22" s="431">
        <v>91</v>
      </c>
      <c r="AM22" s="431">
        <v>62</v>
      </c>
      <c r="AN22" s="431">
        <v>33</v>
      </c>
      <c r="AO22" s="431">
        <v>33</v>
      </c>
      <c r="AP22" s="495">
        <v>55</v>
      </c>
      <c r="AQ22" s="431">
        <v>32</v>
      </c>
      <c r="AR22" s="431">
        <v>37</v>
      </c>
      <c r="AS22" s="431">
        <v>48</v>
      </c>
      <c r="AT22" s="431">
        <v>84</v>
      </c>
      <c r="AU22" s="495">
        <v>50</v>
      </c>
      <c r="AV22" s="431">
        <v>148</v>
      </c>
      <c r="AW22" s="431">
        <v>338</v>
      </c>
      <c r="AX22" s="431">
        <v>328</v>
      </c>
      <c r="AY22" s="431">
        <v>383</v>
      </c>
      <c r="AZ22" s="495">
        <v>299</v>
      </c>
      <c r="BA22" s="431">
        <v>245</v>
      </c>
      <c r="BB22" s="431">
        <v>134</v>
      </c>
      <c r="BC22" s="431">
        <v>243</v>
      </c>
      <c r="BD22" s="431">
        <v>217</v>
      </c>
      <c r="BE22" s="495">
        <v>211</v>
      </c>
      <c r="BF22" s="431">
        <v>210</v>
      </c>
      <c r="BG22" s="431">
        <v>141</v>
      </c>
      <c r="BH22" s="142">
        <v>113</v>
      </c>
      <c r="BI22" s="142">
        <v>118</v>
      </c>
      <c r="BJ22" s="260">
        <v>145</v>
      </c>
      <c r="BK22" s="431">
        <v>136</v>
      </c>
      <c r="BL22" s="431"/>
      <c r="BM22" s="142"/>
      <c r="BN22" s="142"/>
      <c r="BO22" s="260"/>
    </row>
    <row r="23" spans="2:67" s="5" customFormat="1" ht="13.5" customHeight="1">
      <c r="B23" s="115" t="str">
        <f>names!A93</f>
        <v>Lekki olej opałowy</v>
      </c>
      <c r="C23" s="23">
        <v>106</v>
      </c>
      <c r="D23" s="23">
        <v>94</v>
      </c>
      <c r="E23" s="23">
        <v>94</v>
      </c>
      <c r="F23" s="23">
        <v>102</v>
      </c>
      <c r="G23" s="253">
        <v>99</v>
      </c>
      <c r="H23" s="23">
        <v>95</v>
      </c>
      <c r="I23" s="23">
        <v>78</v>
      </c>
      <c r="J23" s="23">
        <v>95</v>
      </c>
      <c r="K23" s="431">
        <v>104</v>
      </c>
      <c r="L23" s="495">
        <v>93</v>
      </c>
      <c r="M23" s="431">
        <v>109</v>
      </c>
      <c r="N23" s="431">
        <v>104</v>
      </c>
      <c r="O23" s="431">
        <v>97</v>
      </c>
      <c r="P23" s="431">
        <v>72</v>
      </c>
      <c r="Q23" s="495">
        <v>95.5</v>
      </c>
      <c r="R23" s="431">
        <v>52</v>
      </c>
      <c r="S23" s="431">
        <v>63</v>
      </c>
      <c r="T23" s="431">
        <v>61</v>
      </c>
      <c r="U23" s="431">
        <v>78</v>
      </c>
      <c r="V23" s="495">
        <v>64</v>
      </c>
      <c r="W23" s="431">
        <v>74</v>
      </c>
      <c r="X23" s="431">
        <v>69</v>
      </c>
      <c r="Y23" s="431">
        <v>81</v>
      </c>
      <c r="Z23" s="431">
        <v>80</v>
      </c>
      <c r="AA23" s="495">
        <v>76</v>
      </c>
      <c r="AB23" s="431">
        <v>80</v>
      </c>
      <c r="AC23" s="431">
        <v>82</v>
      </c>
      <c r="AD23" s="431">
        <v>89.914687499999985</v>
      </c>
      <c r="AE23" s="431">
        <v>114</v>
      </c>
      <c r="AF23" s="495">
        <v>91</v>
      </c>
      <c r="AG23" s="431">
        <v>106</v>
      </c>
      <c r="AH23" s="431">
        <v>80</v>
      </c>
      <c r="AI23" s="431">
        <v>107</v>
      </c>
      <c r="AJ23" s="431">
        <v>100</v>
      </c>
      <c r="AK23" s="495">
        <v>98</v>
      </c>
      <c r="AL23" s="431">
        <v>86</v>
      </c>
      <c r="AM23" s="431">
        <v>57</v>
      </c>
      <c r="AN23" s="431">
        <v>27</v>
      </c>
      <c r="AO23" s="431">
        <v>29</v>
      </c>
      <c r="AP23" s="495">
        <v>50</v>
      </c>
      <c r="AQ23" s="431">
        <v>29</v>
      </c>
      <c r="AR23" s="431">
        <v>31</v>
      </c>
      <c r="AS23" s="431">
        <v>40</v>
      </c>
      <c r="AT23" s="431">
        <v>74</v>
      </c>
      <c r="AU23" s="495">
        <v>44</v>
      </c>
      <c r="AV23" s="431">
        <v>120</v>
      </c>
      <c r="AW23" s="431">
        <v>309</v>
      </c>
      <c r="AX23" s="431">
        <v>302</v>
      </c>
      <c r="AY23" s="431">
        <v>283</v>
      </c>
      <c r="AZ23" s="495">
        <v>253</v>
      </c>
      <c r="BA23" s="431">
        <v>213</v>
      </c>
      <c r="BB23" s="431">
        <v>103</v>
      </c>
      <c r="BC23" s="431">
        <v>225</v>
      </c>
      <c r="BD23" s="431">
        <v>199</v>
      </c>
      <c r="BE23" s="495">
        <v>186</v>
      </c>
      <c r="BF23" s="431">
        <v>183</v>
      </c>
      <c r="BG23" s="431">
        <v>128</v>
      </c>
      <c r="BH23" s="142">
        <v>99</v>
      </c>
      <c r="BI23" s="142">
        <v>107</v>
      </c>
      <c r="BJ23" s="260">
        <v>129</v>
      </c>
      <c r="BK23" s="431">
        <v>119</v>
      </c>
      <c r="BL23" s="431"/>
      <c r="BM23" s="142"/>
      <c r="BN23" s="142"/>
      <c r="BO23" s="260"/>
    </row>
    <row r="24" spans="2:67" s="5" customFormat="1" ht="13.5" customHeight="1">
      <c r="B24" s="115" t="str">
        <f>names!A94</f>
        <v>Jet A-1</v>
      </c>
      <c r="C24" s="23">
        <v>183</v>
      </c>
      <c r="D24" s="23">
        <v>152</v>
      </c>
      <c r="E24" s="23">
        <v>155</v>
      </c>
      <c r="F24" s="23">
        <v>166</v>
      </c>
      <c r="G24" s="253">
        <v>164</v>
      </c>
      <c r="H24" s="23">
        <v>153</v>
      </c>
      <c r="I24" s="23">
        <v>136</v>
      </c>
      <c r="J24" s="23">
        <v>164</v>
      </c>
      <c r="K24" s="431">
        <v>171</v>
      </c>
      <c r="L24" s="495">
        <v>156</v>
      </c>
      <c r="M24" s="431">
        <v>155</v>
      </c>
      <c r="N24" s="431">
        <v>132</v>
      </c>
      <c r="O24" s="431">
        <v>120</v>
      </c>
      <c r="P24" s="431">
        <v>107</v>
      </c>
      <c r="Q24" s="495">
        <v>128.5</v>
      </c>
      <c r="R24" s="431">
        <v>84</v>
      </c>
      <c r="S24" s="431">
        <v>91</v>
      </c>
      <c r="T24" s="431">
        <v>89</v>
      </c>
      <c r="U24" s="431">
        <v>110</v>
      </c>
      <c r="V24" s="495">
        <v>93</v>
      </c>
      <c r="W24" s="431">
        <v>105</v>
      </c>
      <c r="X24" s="431">
        <v>106</v>
      </c>
      <c r="Y24" s="431">
        <v>124</v>
      </c>
      <c r="Z24" s="431">
        <v>126</v>
      </c>
      <c r="AA24" s="495">
        <v>115</v>
      </c>
      <c r="AB24" s="431">
        <v>140</v>
      </c>
      <c r="AC24" s="431">
        <v>143</v>
      </c>
      <c r="AD24" s="431">
        <v>138.93421875000001</v>
      </c>
      <c r="AE24" s="431">
        <v>162</v>
      </c>
      <c r="AF24" s="495">
        <v>146</v>
      </c>
      <c r="AG24" s="431">
        <v>146</v>
      </c>
      <c r="AH24" s="431">
        <v>123</v>
      </c>
      <c r="AI24" s="431">
        <v>158</v>
      </c>
      <c r="AJ24" s="431">
        <v>148</v>
      </c>
      <c r="AK24" s="495">
        <v>144</v>
      </c>
      <c r="AL24" s="431">
        <v>103</v>
      </c>
      <c r="AM24" s="431">
        <v>18</v>
      </c>
      <c r="AN24" s="431">
        <v>10</v>
      </c>
      <c r="AO24" s="431">
        <v>39</v>
      </c>
      <c r="AP24" s="495">
        <v>43</v>
      </c>
      <c r="AQ24" s="431">
        <v>48</v>
      </c>
      <c r="AR24" s="431">
        <v>54</v>
      </c>
      <c r="AS24" s="431">
        <v>68</v>
      </c>
      <c r="AT24" s="431">
        <v>113</v>
      </c>
      <c r="AU24" s="495">
        <v>71</v>
      </c>
      <c r="AV24" s="431">
        <v>178</v>
      </c>
      <c r="AW24" s="431">
        <v>427</v>
      </c>
      <c r="AX24" s="431">
        <v>348</v>
      </c>
      <c r="AY24" s="431">
        <v>361</v>
      </c>
      <c r="AZ24" s="495">
        <v>327</v>
      </c>
      <c r="BA24" s="431">
        <v>292</v>
      </c>
      <c r="BB24" s="431">
        <v>161</v>
      </c>
      <c r="BC24" s="431">
        <v>290</v>
      </c>
      <c r="BD24" s="431">
        <v>279</v>
      </c>
      <c r="BE24" s="495">
        <v>257</v>
      </c>
      <c r="BF24" s="431">
        <v>248</v>
      </c>
      <c r="BG24" s="431">
        <v>182</v>
      </c>
      <c r="BH24" s="142">
        <v>151</v>
      </c>
      <c r="BI24" s="142">
        <v>147</v>
      </c>
      <c r="BJ24" s="260">
        <v>181</v>
      </c>
      <c r="BK24" s="431">
        <v>164</v>
      </c>
      <c r="BL24" s="431"/>
      <c r="BM24" s="142"/>
      <c r="BN24" s="142"/>
      <c r="BO24" s="260"/>
    </row>
    <row r="25" spans="2:67" s="5" customFormat="1" ht="13.5" customHeight="1">
      <c r="B25" s="115" t="str">
        <f>names!A95</f>
        <v>Ciężki olej opałowy</v>
      </c>
      <c r="C25" s="131">
        <v>-242</v>
      </c>
      <c r="D25" s="131">
        <v>-198</v>
      </c>
      <c r="E25" s="131">
        <v>-243</v>
      </c>
      <c r="F25" s="131">
        <v>-253</v>
      </c>
      <c r="G25" s="229">
        <v>-234</v>
      </c>
      <c r="H25" s="131">
        <v>-251</v>
      </c>
      <c r="I25" s="131">
        <v>-254</v>
      </c>
      <c r="J25" s="131">
        <v>-215</v>
      </c>
      <c r="K25" s="431">
        <v>-180</v>
      </c>
      <c r="L25" s="495">
        <v>-225</v>
      </c>
      <c r="M25" s="431">
        <v>-133</v>
      </c>
      <c r="N25" s="431">
        <v>-147</v>
      </c>
      <c r="O25" s="431">
        <v>-140</v>
      </c>
      <c r="P25" s="431">
        <v>-147</v>
      </c>
      <c r="Q25" s="495">
        <v>-141.75</v>
      </c>
      <c r="R25" s="431">
        <v>-122</v>
      </c>
      <c r="S25" s="431">
        <v>-147</v>
      </c>
      <c r="T25" s="431">
        <v>-119</v>
      </c>
      <c r="U25" s="431">
        <v>-110</v>
      </c>
      <c r="V25" s="495">
        <v>-125</v>
      </c>
      <c r="W25" s="431">
        <v>-118</v>
      </c>
      <c r="X25" s="431">
        <v>-99</v>
      </c>
      <c r="Y25" s="431">
        <v>-100</v>
      </c>
      <c r="Z25" s="431">
        <v>-130</v>
      </c>
      <c r="AA25" s="495">
        <v>-112</v>
      </c>
      <c r="AB25" s="431">
        <v>-154</v>
      </c>
      <c r="AC25" s="431">
        <v>-163</v>
      </c>
      <c r="AD25" s="431">
        <v>-147</v>
      </c>
      <c r="AE25" s="431">
        <v>-119</v>
      </c>
      <c r="AF25" s="495">
        <v>-146</v>
      </c>
      <c r="AG25" s="431">
        <v>-102</v>
      </c>
      <c r="AH25" s="431">
        <v>-136</v>
      </c>
      <c r="AI25" s="431">
        <v>-140</v>
      </c>
      <c r="AJ25" s="431">
        <v>-252</v>
      </c>
      <c r="AK25" s="495">
        <v>-158</v>
      </c>
      <c r="AL25" s="431">
        <v>-154</v>
      </c>
      <c r="AM25" s="431">
        <v>-62</v>
      </c>
      <c r="AN25" s="431">
        <v>-86</v>
      </c>
      <c r="AO25" s="431">
        <v>-80</v>
      </c>
      <c r="AP25" s="495">
        <v>-96</v>
      </c>
      <c r="AQ25" s="431">
        <v>-122</v>
      </c>
      <c r="AR25" s="431">
        <v>-152</v>
      </c>
      <c r="AS25" s="431">
        <v>-162</v>
      </c>
      <c r="AT25" s="431">
        <v>-180</v>
      </c>
      <c r="AU25" s="495">
        <v>-154</v>
      </c>
      <c r="AV25" s="431">
        <v>-247</v>
      </c>
      <c r="AW25" s="431">
        <v>-279</v>
      </c>
      <c r="AX25" s="431">
        <v>-325</v>
      </c>
      <c r="AY25" s="431">
        <v>-311</v>
      </c>
      <c r="AZ25" s="495">
        <v>-291</v>
      </c>
      <c r="BA25" s="431">
        <v>-239</v>
      </c>
      <c r="BB25" s="431">
        <v>-164</v>
      </c>
      <c r="BC25" s="431">
        <v>-138</v>
      </c>
      <c r="BD25" s="431">
        <v>-192</v>
      </c>
      <c r="BE25" s="495">
        <v>-184</v>
      </c>
      <c r="BF25" s="431">
        <v>-191</v>
      </c>
      <c r="BG25" s="431">
        <v>-174</v>
      </c>
      <c r="BH25" s="142">
        <v>-166</v>
      </c>
      <c r="BI25" s="142">
        <v>-115</v>
      </c>
      <c r="BJ25" s="260">
        <v>-161</v>
      </c>
      <c r="BK25" s="431">
        <v>-132</v>
      </c>
      <c r="BL25" s="431"/>
      <c r="BM25" s="142"/>
      <c r="BN25" s="142"/>
      <c r="BO25" s="260"/>
    </row>
    <row r="26" spans="2:67" s="5" customFormat="1" ht="13.5" customHeight="1" thickBot="1">
      <c r="B26" s="115" t="str">
        <f>names!A96</f>
        <v>SN 150</v>
      </c>
      <c r="C26" s="23">
        <v>68</v>
      </c>
      <c r="D26" s="23">
        <v>205</v>
      </c>
      <c r="E26" s="23">
        <v>121</v>
      </c>
      <c r="F26" s="23">
        <v>128</v>
      </c>
      <c r="G26" s="253">
        <v>131</v>
      </c>
      <c r="H26" s="23">
        <v>97</v>
      </c>
      <c r="I26" s="23">
        <v>149</v>
      </c>
      <c r="J26" s="23">
        <v>202</v>
      </c>
      <c r="K26" s="431">
        <v>194</v>
      </c>
      <c r="L26" s="495">
        <v>161</v>
      </c>
      <c r="M26" s="431">
        <v>166</v>
      </c>
      <c r="N26" s="431">
        <v>198</v>
      </c>
      <c r="O26" s="431">
        <v>145</v>
      </c>
      <c r="P26" s="431">
        <v>197</v>
      </c>
      <c r="Q26" s="495">
        <v>176.5</v>
      </c>
      <c r="R26" s="431">
        <v>234</v>
      </c>
      <c r="S26" s="431">
        <v>108</v>
      </c>
      <c r="T26" s="431">
        <v>106</v>
      </c>
      <c r="U26" s="431">
        <v>110</v>
      </c>
      <c r="V26" s="495">
        <v>139</v>
      </c>
      <c r="W26" s="431">
        <v>151</v>
      </c>
      <c r="X26" s="431">
        <v>359</v>
      </c>
      <c r="Y26" s="431">
        <v>382</v>
      </c>
      <c r="Z26" s="431">
        <v>289</v>
      </c>
      <c r="AA26" s="495">
        <v>295</v>
      </c>
      <c r="AB26" s="431">
        <v>224</v>
      </c>
      <c r="AC26" s="431">
        <v>176</v>
      </c>
      <c r="AD26" s="431">
        <v>164</v>
      </c>
      <c r="AE26" s="431">
        <v>201</v>
      </c>
      <c r="AF26" s="495">
        <v>191</v>
      </c>
      <c r="AG26" s="431">
        <v>146</v>
      </c>
      <c r="AH26" s="431">
        <v>67</v>
      </c>
      <c r="AI26" s="431">
        <v>119</v>
      </c>
      <c r="AJ26" s="431">
        <v>75</v>
      </c>
      <c r="AK26" s="495">
        <v>102</v>
      </c>
      <c r="AL26" s="431">
        <v>169</v>
      </c>
      <c r="AM26" s="431">
        <v>163</v>
      </c>
      <c r="AN26" s="431">
        <v>100</v>
      </c>
      <c r="AO26" s="431">
        <v>261</v>
      </c>
      <c r="AP26" s="495">
        <v>173</v>
      </c>
      <c r="AQ26" s="431">
        <v>348</v>
      </c>
      <c r="AR26" s="431">
        <v>713</v>
      </c>
      <c r="AS26" s="431">
        <v>576</v>
      </c>
      <c r="AT26" s="431">
        <v>152</v>
      </c>
      <c r="AU26" s="495">
        <v>445</v>
      </c>
      <c r="AV26" s="431">
        <v>11</v>
      </c>
      <c r="AW26" s="431">
        <v>631</v>
      </c>
      <c r="AX26" s="431">
        <v>788</v>
      </c>
      <c r="AY26" s="431">
        <v>391</v>
      </c>
      <c r="AZ26" s="495">
        <v>454</v>
      </c>
      <c r="BA26" s="431">
        <v>106</v>
      </c>
      <c r="BB26" s="431">
        <v>190</v>
      </c>
      <c r="BC26" s="431">
        <v>133</v>
      </c>
      <c r="BD26" s="431">
        <v>194</v>
      </c>
      <c r="BE26" s="495">
        <v>155</v>
      </c>
      <c r="BF26" s="431">
        <v>128</v>
      </c>
      <c r="BG26" s="431">
        <v>319</v>
      </c>
      <c r="BH26" s="142">
        <v>407</v>
      </c>
      <c r="BI26" s="142">
        <v>376</v>
      </c>
      <c r="BJ26" s="260">
        <v>308</v>
      </c>
      <c r="BK26" s="431">
        <v>303</v>
      </c>
      <c r="BL26" s="431"/>
      <c r="BM26" s="142"/>
      <c r="BN26" s="142"/>
      <c r="BO26" s="260"/>
    </row>
    <row r="27" spans="2:67" s="5" customFormat="1" ht="12" thickBot="1">
      <c r="B27" s="119" t="str">
        <f>names!A97</f>
        <v>Produkty petrochemiczne (EUR/t)  7)</v>
      </c>
      <c r="C27" s="194"/>
      <c r="D27" s="194"/>
      <c r="E27" s="194"/>
      <c r="F27" s="194"/>
      <c r="G27" s="257"/>
      <c r="H27" s="194"/>
      <c r="I27" s="194"/>
      <c r="J27" s="194"/>
      <c r="K27" s="433"/>
      <c r="L27" s="676"/>
      <c r="M27" s="433"/>
      <c r="N27" s="433"/>
      <c r="O27" s="433"/>
      <c r="P27" s="433"/>
      <c r="Q27" s="676"/>
      <c r="R27" s="433"/>
      <c r="S27" s="433"/>
      <c r="T27" s="433"/>
      <c r="U27" s="433"/>
      <c r="V27" s="676"/>
      <c r="W27" s="433"/>
      <c r="X27" s="433"/>
      <c r="Y27" s="433"/>
      <c r="Z27" s="433"/>
      <c r="AA27" s="676"/>
      <c r="AB27" s="433"/>
      <c r="AC27" s="433"/>
      <c r="AD27" s="433"/>
      <c r="AE27" s="433"/>
      <c r="AF27" s="676"/>
      <c r="AG27" s="433"/>
      <c r="AH27" s="433"/>
      <c r="AI27" s="433"/>
      <c r="AJ27" s="433"/>
      <c r="AK27" s="676"/>
      <c r="AL27" s="433"/>
      <c r="AM27" s="433"/>
      <c r="AN27" s="433"/>
      <c r="AO27" s="433"/>
      <c r="AP27" s="676"/>
      <c r="AQ27" s="433"/>
      <c r="AR27" s="433"/>
      <c r="AS27" s="433"/>
      <c r="AT27" s="433"/>
      <c r="AU27" s="676"/>
      <c r="AV27" s="433"/>
      <c r="AW27" s="433"/>
      <c r="AX27" s="433"/>
      <c r="AY27" s="433"/>
      <c r="AZ27" s="676"/>
      <c r="BA27" s="433"/>
      <c r="BB27" s="433"/>
      <c r="BC27" s="433"/>
      <c r="BD27" s="433"/>
      <c r="BE27" s="676"/>
      <c r="BF27" s="433"/>
      <c r="BG27" s="433"/>
      <c r="BH27" s="144"/>
      <c r="BI27" s="144"/>
      <c r="BJ27" s="265"/>
      <c r="BK27" s="433"/>
      <c r="BL27" s="433"/>
      <c r="BM27" s="144"/>
      <c r="BN27" s="144"/>
      <c r="BO27" s="265"/>
    </row>
    <row r="28" spans="2:67" s="5" customFormat="1" ht="13.5" customHeight="1">
      <c r="B28" s="115" t="str">
        <f>names!A98</f>
        <v>Polietylen 8)</v>
      </c>
      <c r="C28" s="23">
        <v>183</v>
      </c>
      <c r="D28" s="23">
        <v>189</v>
      </c>
      <c r="E28" s="23">
        <v>202</v>
      </c>
      <c r="F28" s="23">
        <v>188</v>
      </c>
      <c r="G28" s="253">
        <v>191</v>
      </c>
      <c r="H28" s="23">
        <v>200</v>
      </c>
      <c r="I28" s="23">
        <v>195</v>
      </c>
      <c r="J28" s="23">
        <v>198</v>
      </c>
      <c r="K28" s="431">
        <v>242</v>
      </c>
      <c r="L28" s="495">
        <v>209</v>
      </c>
      <c r="M28" s="431">
        <v>272</v>
      </c>
      <c r="N28" s="431">
        <v>481</v>
      </c>
      <c r="O28" s="431">
        <v>534</v>
      </c>
      <c r="P28" s="431">
        <v>532</v>
      </c>
      <c r="Q28" s="495">
        <v>459</v>
      </c>
      <c r="R28" s="431">
        <v>571</v>
      </c>
      <c r="S28" s="431">
        <v>556</v>
      </c>
      <c r="T28" s="431">
        <v>475</v>
      </c>
      <c r="U28" s="431">
        <v>428</v>
      </c>
      <c r="V28" s="495">
        <v>507</v>
      </c>
      <c r="W28" s="431">
        <v>422</v>
      </c>
      <c r="X28" s="431">
        <v>399</v>
      </c>
      <c r="Y28" s="431">
        <v>336</v>
      </c>
      <c r="Z28" s="431">
        <v>321</v>
      </c>
      <c r="AA28" s="495">
        <v>370</v>
      </c>
      <c r="AB28" s="431">
        <v>286</v>
      </c>
      <c r="AC28" s="431">
        <v>263</v>
      </c>
      <c r="AD28" s="431">
        <v>282</v>
      </c>
      <c r="AE28" s="431">
        <v>288</v>
      </c>
      <c r="AF28" s="495">
        <v>280</v>
      </c>
      <c r="AG28" s="431">
        <v>311</v>
      </c>
      <c r="AH28" s="431">
        <v>308</v>
      </c>
      <c r="AI28" s="431">
        <v>299</v>
      </c>
      <c r="AJ28" s="431">
        <v>280</v>
      </c>
      <c r="AK28" s="495">
        <v>300</v>
      </c>
      <c r="AL28" s="431">
        <v>273</v>
      </c>
      <c r="AM28" s="431">
        <v>389</v>
      </c>
      <c r="AN28" s="431">
        <v>373</v>
      </c>
      <c r="AO28" s="431">
        <v>386</v>
      </c>
      <c r="AP28" s="495">
        <v>355</v>
      </c>
      <c r="AQ28" s="431">
        <v>532</v>
      </c>
      <c r="AR28" s="431">
        <v>845</v>
      </c>
      <c r="AS28" s="431">
        <v>605</v>
      </c>
      <c r="AT28" s="431">
        <v>493</v>
      </c>
      <c r="AU28" s="495">
        <v>621</v>
      </c>
      <c r="AV28" s="431">
        <v>466</v>
      </c>
      <c r="AW28" s="431">
        <v>551</v>
      </c>
      <c r="AX28" s="431">
        <v>471</v>
      </c>
      <c r="AY28" s="431">
        <v>487</v>
      </c>
      <c r="AZ28" s="495">
        <v>494</v>
      </c>
      <c r="BA28" s="431">
        <v>464</v>
      </c>
      <c r="BB28" s="431">
        <v>433</v>
      </c>
      <c r="BC28" s="431">
        <v>353</v>
      </c>
      <c r="BD28" s="431">
        <v>381</v>
      </c>
      <c r="BE28" s="495">
        <v>408</v>
      </c>
      <c r="BF28" s="431">
        <v>433</v>
      </c>
      <c r="BG28" s="431">
        <v>478</v>
      </c>
      <c r="BH28" s="142">
        <v>471</v>
      </c>
      <c r="BI28" s="142">
        <v>465</v>
      </c>
      <c r="BJ28" s="260">
        <v>463</v>
      </c>
      <c r="BK28" s="431">
        <v>455</v>
      </c>
      <c r="BL28" s="431"/>
      <c r="BM28" s="142"/>
      <c r="BN28" s="142"/>
      <c r="BO28" s="260"/>
    </row>
    <row r="29" spans="2:67" s="5" customFormat="1" ht="13.5" customHeight="1">
      <c r="B29" s="115" t="str">
        <f>names!A99</f>
        <v>Polipropylen 8)</v>
      </c>
      <c r="C29" s="23">
        <v>307</v>
      </c>
      <c r="D29" s="23">
        <v>297</v>
      </c>
      <c r="E29" s="23">
        <v>297</v>
      </c>
      <c r="F29" s="23">
        <v>292</v>
      </c>
      <c r="G29" s="253">
        <v>298</v>
      </c>
      <c r="H29" s="23">
        <v>304</v>
      </c>
      <c r="I29" s="23">
        <v>314</v>
      </c>
      <c r="J29" s="23">
        <v>331</v>
      </c>
      <c r="K29" s="431">
        <v>363</v>
      </c>
      <c r="L29" s="495">
        <v>328</v>
      </c>
      <c r="M29" s="431">
        <v>371</v>
      </c>
      <c r="N29" s="431">
        <v>527</v>
      </c>
      <c r="O29" s="431">
        <v>539</v>
      </c>
      <c r="P29" s="431">
        <v>539</v>
      </c>
      <c r="Q29" s="495">
        <v>496</v>
      </c>
      <c r="R29" s="431">
        <v>561</v>
      </c>
      <c r="S29" s="431">
        <v>556</v>
      </c>
      <c r="T29" s="431">
        <v>512</v>
      </c>
      <c r="U29" s="431">
        <v>487</v>
      </c>
      <c r="V29" s="495">
        <v>529</v>
      </c>
      <c r="W29" s="431">
        <v>475</v>
      </c>
      <c r="X29" s="431">
        <v>489</v>
      </c>
      <c r="Y29" s="431">
        <v>474</v>
      </c>
      <c r="Z29" s="431">
        <v>472</v>
      </c>
      <c r="AA29" s="495">
        <v>478</v>
      </c>
      <c r="AB29" s="431">
        <v>447</v>
      </c>
      <c r="AC29" s="431">
        <v>414</v>
      </c>
      <c r="AD29" s="431">
        <v>392</v>
      </c>
      <c r="AE29" s="431">
        <v>392</v>
      </c>
      <c r="AF29" s="495">
        <v>412</v>
      </c>
      <c r="AG29" s="431">
        <v>421</v>
      </c>
      <c r="AH29" s="431">
        <v>423</v>
      </c>
      <c r="AI29" s="431">
        <v>417</v>
      </c>
      <c r="AJ29" s="431">
        <v>409</v>
      </c>
      <c r="AK29" s="495">
        <v>418</v>
      </c>
      <c r="AL29" s="431">
        <v>406</v>
      </c>
      <c r="AM29" s="431">
        <v>467</v>
      </c>
      <c r="AN29" s="431">
        <v>411</v>
      </c>
      <c r="AO29" s="431">
        <v>426</v>
      </c>
      <c r="AP29" s="495">
        <v>427</v>
      </c>
      <c r="AQ29" s="431">
        <v>594</v>
      </c>
      <c r="AR29" s="431">
        <v>934</v>
      </c>
      <c r="AS29" s="431">
        <v>797</v>
      </c>
      <c r="AT29" s="431">
        <v>698</v>
      </c>
      <c r="AU29" s="495">
        <v>759</v>
      </c>
      <c r="AV29" s="431">
        <v>655</v>
      </c>
      <c r="AW29" s="431">
        <v>638</v>
      </c>
      <c r="AX29" s="431">
        <v>460</v>
      </c>
      <c r="AY29" s="431">
        <v>438</v>
      </c>
      <c r="AZ29" s="495">
        <v>546</v>
      </c>
      <c r="BA29" s="431">
        <v>432</v>
      </c>
      <c r="BB29" s="431">
        <v>429</v>
      </c>
      <c r="BC29" s="431">
        <v>345</v>
      </c>
      <c r="BD29" s="431">
        <v>353</v>
      </c>
      <c r="BE29" s="495">
        <v>391</v>
      </c>
      <c r="BF29" s="431">
        <v>392</v>
      </c>
      <c r="BG29" s="431">
        <v>432</v>
      </c>
      <c r="BH29" s="142">
        <v>423</v>
      </c>
      <c r="BI29" s="142">
        <v>416</v>
      </c>
      <c r="BJ29" s="260">
        <v>417</v>
      </c>
      <c r="BK29" s="431">
        <v>387</v>
      </c>
      <c r="BL29" s="431"/>
      <c r="BM29" s="142"/>
      <c r="BN29" s="142"/>
      <c r="BO29" s="260"/>
    </row>
    <row r="30" spans="2:67" s="5" customFormat="1" ht="13.5" customHeight="1">
      <c r="B30" s="115" t="str">
        <f>names!A100</f>
        <v>Etylen</v>
      </c>
      <c r="C30" s="23">
        <v>643</v>
      </c>
      <c r="D30" s="23">
        <v>594</v>
      </c>
      <c r="E30" s="23">
        <v>577</v>
      </c>
      <c r="F30" s="23">
        <v>608</v>
      </c>
      <c r="G30" s="253">
        <v>605</v>
      </c>
      <c r="H30" s="23">
        <v>603</v>
      </c>
      <c r="I30" s="23">
        <v>562</v>
      </c>
      <c r="J30" s="23">
        <v>604</v>
      </c>
      <c r="K30" s="431">
        <v>588</v>
      </c>
      <c r="L30" s="495">
        <v>589</v>
      </c>
      <c r="M30" s="431">
        <v>505</v>
      </c>
      <c r="N30" s="431">
        <v>619</v>
      </c>
      <c r="O30" s="431">
        <v>671</v>
      </c>
      <c r="P30" s="431">
        <v>604</v>
      </c>
      <c r="Q30" s="495">
        <v>602</v>
      </c>
      <c r="R30" s="431">
        <v>606</v>
      </c>
      <c r="S30" s="431">
        <v>605</v>
      </c>
      <c r="T30" s="431">
        <v>619</v>
      </c>
      <c r="U30" s="431">
        <v>608</v>
      </c>
      <c r="V30" s="495">
        <v>610</v>
      </c>
      <c r="W30" s="431">
        <v>637</v>
      </c>
      <c r="X30" s="431">
        <v>689</v>
      </c>
      <c r="Y30" s="431">
        <v>642</v>
      </c>
      <c r="Z30" s="431">
        <v>642</v>
      </c>
      <c r="AA30" s="495">
        <v>653</v>
      </c>
      <c r="AB30" s="431">
        <v>652</v>
      </c>
      <c r="AC30" s="431">
        <v>630</v>
      </c>
      <c r="AD30" s="431">
        <v>644</v>
      </c>
      <c r="AE30" s="431">
        <v>640</v>
      </c>
      <c r="AF30" s="495">
        <v>641</v>
      </c>
      <c r="AG30" s="431">
        <v>578</v>
      </c>
      <c r="AH30" s="431">
        <v>593</v>
      </c>
      <c r="AI30" s="431">
        <v>568</v>
      </c>
      <c r="AJ30" s="431">
        <v>543</v>
      </c>
      <c r="AK30" s="495">
        <v>571</v>
      </c>
      <c r="AL30" s="431">
        <v>594</v>
      </c>
      <c r="AM30" s="431">
        <v>478</v>
      </c>
      <c r="AN30" s="431">
        <v>499</v>
      </c>
      <c r="AO30" s="431">
        <v>502</v>
      </c>
      <c r="AP30" s="495">
        <v>518</v>
      </c>
      <c r="AQ30" s="431">
        <v>559</v>
      </c>
      <c r="AR30" s="431">
        <v>627</v>
      </c>
      <c r="AS30" s="431">
        <v>678</v>
      </c>
      <c r="AT30" s="431">
        <v>715</v>
      </c>
      <c r="AU30" s="495">
        <v>646</v>
      </c>
      <c r="AV30" s="431">
        <v>664</v>
      </c>
      <c r="AW30" s="431">
        <v>810</v>
      </c>
      <c r="AX30" s="431">
        <v>639</v>
      </c>
      <c r="AY30" s="431">
        <v>606</v>
      </c>
      <c r="AZ30" s="495">
        <v>681</v>
      </c>
      <c r="BA30" s="431">
        <v>668</v>
      </c>
      <c r="BB30" s="431">
        <v>664</v>
      </c>
      <c r="BC30" s="431">
        <v>547</v>
      </c>
      <c r="BD30" s="431">
        <v>621</v>
      </c>
      <c r="BE30" s="495">
        <v>625</v>
      </c>
      <c r="BF30" s="431">
        <v>616</v>
      </c>
      <c r="BG30" s="431">
        <v>641</v>
      </c>
      <c r="BH30" s="142">
        <v>669</v>
      </c>
      <c r="BI30" s="142">
        <v>669</v>
      </c>
      <c r="BJ30" s="260">
        <v>648</v>
      </c>
      <c r="BK30" s="431">
        <v>691</v>
      </c>
      <c r="BL30" s="431"/>
      <c r="BM30" s="142"/>
      <c r="BN30" s="142"/>
      <c r="BO30" s="260"/>
    </row>
    <row r="31" spans="2:67" s="5" customFormat="1" ht="13.5" customHeight="1">
      <c r="B31" s="115" t="str">
        <f>names!A101</f>
        <v>Propylen</v>
      </c>
      <c r="C31" s="23">
        <v>467</v>
      </c>
      <c r="D31" s="23">
        <v>453</v>
      </c>
      <c r="E31" s="23">
        <v>456</v>
      </c>
      <c r="F31" s="23">
        <v>494</v>
      </c>
      <c r="G31" s="253">
        <v>467</v>
      </c>
      <c r="H31" s="23">
        <v>530</v>
      </c>
      <c r="I31" s="23">
        <v>545</v>
      </c>
      <c r="J31" s="23">
        <v>557</v>
      </c>
      <c r="K31" s="431">
        <v>540</v>
      </c>
      <c r="L31" s="495">
        <v>543</v>
      </c>
      <c r="M31" s="431">
        <v>454</v>
      </c>
      <c r="N31" s="431">
        <v>557</v>
      </c>
      <c r="O31" s="431">
        <v>564</v>
      </c>
      <c r="P31" s="431">
        <v>373</v>
      </c>
      <c r="Q31" s="495">
        <v>488</v>
      </c>
      <c r="R31" s="431">
        <v>342</v>
      </c>
      <c r="S31" s="431">
        <v>334</v>
      </c>
      <c r="T31" s="431">
        <v>368</v>
      </c>
      <c r="U31" s="431">
        <v>393</v>
      </c>
      <c r="V31" s="495">
        <v>359</v>
      </c>
      <c r="W31" s="431">
        <v>442</v>
      </c>
      <c r="X31" s="431">
        <v>517</v>
      </c>
      <c r="Y31" s="431">
        <v>471</v>
      </c>
      <c r="Z31" s="431">
        <v>477</v>
      </c>
      <c r="AA31" s="495">
        <v>477</v>
      </c>
      <c r="AB31" s="431">
        <v>510</v>
      </c>
      <c r="AC31" s="431">
        <v>503</v>
      </c>
      <c r="AD31" s="431">
        <v>552</v>
      </c>
      <c r="AE31" s="431">
        <v>568</v>
      </c>
      <c r="AF31" s="495">
        <v>532</v>
      </c>
      <c r="AG31" s="431">
        <v>516</v>
      </c>
      <c r="AH31" s="431">
        <v>511</v>
      </c>
      <c r="AI31" s="431">
        <v>467</v>
      </c>
      <c r="AJ31" s="431">
        <v>421</v>
      </c>
      <c r="AK31" s="495">
        <v>480</v>
      </c>
      <c r="AL31" s="431">
        <v>480</v>
      </c>
      <c r="AM31" s="431">
        <v>421</v>
      </c>
      <c r="AN31" s="431">
        <v>444</v>
      </c>
      <c r="AO31" s="431">
        <v>445</v>
      </c>
      <c r="AP31" s="495">
        <v>448</v>
      </c>
      <c r="AQ31" s="431">
        <v>515</v>
      </c>
      <c r="AR31" s="431">
        <v>603</v>
      </c>
      <c r="AS31" s="431">
        <v>677</v>
      </c>
      <c r="AT31" s="431">
        <v>730</v>
      </c>
      <c r="AU31" s="495">
        <v>633</v>
      </c>
      <c r="AV31" s="431">
        <v>679</v>
      </c>
      <c r="AW31" s="431">
        <v>820</v>
      </c>
      <c r="AX31" s="431">
        <v>598</v>
      </c>
      <c r="AY31" s="431">
        <v>514</v>
      </c>
      <c r="AZ31" s="495">
        <v>654</v>
      </c>
      <c r="BA31" s="431">
        <v>564</v>
      </c>
      <c r="BB31" s="431">
        <v>554</v>
      </c>
      <c r="BC31" s="431">
        <v>421</v>
      </c>
      <c r="BD31" s="431">
        <v>484</v>
      </c>
      <c r="BE31" s="495">
        <v>506</v>
      </c>
      <c r="BF31" s="431">
        <v>495</v>
      </c>
      <c r="BG31" s="431">
        <v>526</v>
      </c>
      <c r="BH31" s="142">
        <v>550</v>
      </c>
      <c r="BI31" s="142">
        <v>542</v>
      </c>
      <c r="BJ31" s="260">
        <v>528</v>
      </c>
      <c r="BK31" s="431">
        <v>563</v>
      </c>
      <c r="BL31" s="431"/>
      <c r="BM31" s="142"/>
      <c r="BN31" s="142"/>
      <c r="BO31" s="260"/>
    </row>
    <row r="32" spans="2:67" s="5" customFormat="1" ht="13.5" customHeight="1">
      <c r="B32" s="115" t="str">
        <f>names!A102</f>
        <v>Toluen</v>
      </c>
      <c r="C32" s="23">
        <v>320</v>
      </c>
      <c r="D32" s="23">
        <v>292</v>
      </c>
      <c r="E32" s="23">
        <v>195</v>
      </c>
      <c r="F32" s="23">
        <v>190</v>
      </c>
      <c r="G32" s="253">
        <v>249</v>
      </c>
      <c r="H32" s="23">
        <v>218</v>
      </c>
      <c r="I32" s="23">
        <v>206</v>
      </c>
      <c r="J32" s="23">
        <v>276</v>
      </c>
      <c r="K32" s="431">
        <v>276</v>
      </c>
      <c r="L32" s="495">
        <v>244</v>
      </c>
      <c r="M32" s="431">
        <v>161</v>
      </c>
      <c r="N32" s="431">
        <v>228</v>
      </c>
      <c r="O32" s="431">
        <v>299</v>
      </c>
      <c r="P32" s="431">
        <v>230</v>
      </c>
      <c r="Q32" s="495">
        <v>231</v>
      </c>
      <c r="R32" s="431">
        <v>227</v>
      </c>
      <c r="S32" s="431">
        <v>237</v>
      </c>
      <c r="T32" s="431">
        <v>167</v>
      </c>
      <c r="U32" s="431">
        <v>176</v>
      </c>
      <c r="V32" s="495">
        <v>201</v>
      </c>
      <c r="W32" s="431">
        <v>240</v>
      </c>
      <c r="X32" s="431">
        <v>222</v>
      </c>
      <c r="Y32" s="431">
        <v>191</v>
      </c>
      <c r="Z32" s="431">
        <v>167</v>
      </c>
      <c r="AA32" s="495">
        <v>205</v>
      </c>
      <c r="AB32" s="431">
        <v>166</v>
      </c>
      <c r="AC32" s="431">
        <v>192</v>
      </c>
      <c r="AD32" s="431">
        <v>213</v>
      </c>
      <c r="AE32" s="431">
        <v>195</v>
      </c>
      <c r="AF32" s="495">
        <v>191</v>
      </c>
      <c r="AG32" s="431">
        <v>172</v>
      </c>
      <c r="AH32" s="431">
        <v>218</v>
      </c>
      <c r="AI32" s="431">
        <v>224</v>
      </c>
      <c r="AJ32" s="431">
        <v>173</v>
      </c>
      <c r="AK32" s="495">
        <v>197</v>
      </c>
      <c r="AL32" s="431">
        <v>222</v>
      </c>
      <c r="AM32" s="431">
        <v>83</v>
      </c>
      <c r="AN32" s="431">
        <v>87</v>
      </c>
      <c r="AO32" s="431">
        <v>64</v>
      </c>
      <c r="AP32" s="495">
        <v>115</v>
      </c>
      <c r="AQ32" s="431">
        <v>126</v>
      </c>
      <c r="AR32" s="431">
        <v>195</v>
      </c>
      <c r="AS32" s="431">
        <v>196</v>
      </c>
      <c r="AT32" s="431">
        <v>153</v>
      </c>
      <c r="AU32" s="495">
        <v>164</v>
      </c>
      <c r="AV32" s="431">
        <v>155</v>
      </c>
      <c r="AW32" s="431">
        <v>450</v>
      </c>
      <c r="AX32" s="431">
        <v>619</v>
      </c>
      <c r="AY32" s="431">
        <v>428</v>
      </c>
      <c r="AZ32" s="495">
        <v>421</v>
      </c>
      <c r="BA32" s="431">
        <v>413</v>
      </c>
      <c r="BB32" s="431">
        <v>455</v>
      </c>
      <c r="BC32" s="431">
        <v>530</v>
      </c>
      <c r="BD32" s="431">
        <v>348</v>
      </c>
      <c r="BE32" s="495">
        <v>438</v>
      </c>
      <c r="BF32" s="431">
        <v>399</v>
      </c>
      <c r="BG32" s="431">
        <v>477</v>
      </c>
      <c r="BH32" s="142">
        <v>337</v>
      </c>
      <c r="BI32" s="142">
        <v>260</v>
      </c>
      <c r="BJ32" s="260">
        <v>370</v>
      </c>
      <c r="BK32" s="431">
        <v>306</v>
      </c>
      <c r="BL32" s="431"/>
      <c r="BM32" s="142"/>
      <c r="BN32" s="142"/>
      <c r="BO32" s="260"/>
    </row>
    <row r="33" spans="2:68" s="5" customFormat="1" ht="13.5" customHeight="1">
      <c r="B33" s="115" t="str">
        <f>names!A103</f>
        <v>Benzen</v>
      </c>
      <c r="C33" s="23">
        <v>433</v>
      </c>
      <c r="D33" s="23">
        <v>430</v>
      </c>
      <c r="E33" s="23">
        <v>334</v>
      </c>
      <c r="F33" s="23">
        <v>304</v>
      </c>
      <c r="G33" s="253">
        <v>375</v>
      </c>
      <c r="H33" s="23">
        <v>411</v>
      </c>
      <c r="I33" s="23">
        <v>405</v>
      </c>
      <c r="J33" s="23">
        <v>479</v>
      </c>
      <c r="K33" s="431">
        <v>435</v>
      </c>
      <c r="L33" s="495">
        <v>432</v>
      </c>
      <c r="M33" s="431">
        <v>180</v>
      </c>
      <c r="N33" s="431">
        <v>307</v>
      </c>
      <c r="O33" s="431">
        <v>355</v>
      </c>
      <c r="P33" s="431">
        <v>264</v>
      </c>
      <c r="Q33" s="495">
        <v>278</v>
      </c>
      <c r="R33" s="431">
        <v>319</v>
      </c>
      <c r="S33" s="431">
        <v>293</v>
      </c>
      <c r="T33" s="431">
        <v>304</v>
      </c>
      <c r="U33" s="431">
        <v>266</v>
      </c>
      <c r="V33" s="495">
        <v>296</v>
      </c>
      <c r="W33" s="431">
        <v>513</v>
      </c>
      <c r="X33" s="431">
        <v>402</v>
      </c>
      <c r="Y33" s="431">
        <v>329</v>
      </c>
      <c r="Z33" s="431">
        <v>346</v>
      </c>
      <c r="AA33" s="495">
        <v>398</v>
      </c>
      <c r="AB33" s="431">
        <v>335</v>
      </c>
      <c r="AC33" s="431">
        <v>255</v>
      </c>
      <c r="AD33" s="431">
        <v>262</v>
      </c>
      <c r="AE33" s="431">
        <v>189</v>
      </c>
      <c r="AF33" s="495">
        <v>261</v>
      </c>
      <c r="AG33" s="431">
        <v>103</v>
      </c>
      <c r="AH33" s="431">
        <v>174</v>
      </c>
      <c r="AI33" s="431">
        <v>273</v>
      </c>
      <c r="AJ33" s="431">
        <v>188</v>
      </c>
      <c r="AK33" s="495">
        <v>184</v>
      </c>
      <c r="AL33" s="431">
        <v>309</v>
      </c>
      <c r="AM33" s="431">
        <v>39</v>
      </c>
      <c r="AN33" s="431">
        <v>90</v>
      </c>
      <c r="AO33" s="431">
        <v>150</v>
      </c>
      <c r="AP33" s="495">
        <v>147</v>
      </c>
      <c r="AQ33" s="431">
        <v>306</v>
      </c>
      <c r="AR33" s="431">
        <v>672</v>
      </c>
      <c r="AS33" s="431">
        <v>389</v>
      </c>
      <c r="AT33" s="431">
        <v>298</v>
      </c>
      <c r="AU33" s="495">
        <v>419</v>
      </c>
      <c r="AV33" s="431">
        <v>333</v>
      </c>
      <c r="AW33" s="431">
        <v>422</v>
      </c>
      <c r="AX33" s="431">
        <v>429</v>
      </c>
      <c r="AY33" s="431">
        <v>115</v>
      </c>
      <c r="AZ33" s="495">
        <v>331</v>
      </c>
      <c r="BA33" s="431">
        <v>312</v>
      </c>
      <c r="BB33" s="431">
        <v>393</v>
      </c>
      <c r="BC33" s="431">
        <v>233</v>
      </c>
      <c r="BD33" s="431">
        <v>331</v>
      </c>
      <c r="BE33" s="495">
        <v>317</v>
      </c>
      <c r="BF33" s="431">
        <v>454</v>
      </c>
      <c r="BG33" s="431">
        <v>564</v>
      </c>
      <c r="BH33" s="142">
        <v>381</v>
      </c>
      <c r="BI33" s="142">
        <v>299</v>
      </c>
      <c r="BJ33" s="260">
        <v>427</v>
      </c>
      <c r="BK33" s="431">
        <v>307</v>
      </c>
      <c r="BL33" s="431"/>
      <c r="BM33" s="142"/>
      <c r="BN33" s="142"/>
      <c r="BO33" s="260"/>
    </row>
    <row r="34" spans="2:68" s="5" customFormat="1" ht="13.5" customHeight="1">
      <c r="B34" s="115" t="str">
        <f>names!A104</f>
        <v>Butadien</v>
      </c>
      <c r="C34" s="23">
        <v>737</v>
      </c>
      <c r="D34" s="23">
        <v>713</v>
      </c>
      <c r="E34" s="23">
        <v>203</v>
      </c>
      <c r="F34" s="23">
        <v>267</v>
      </c>
      <c r="G34" s="253">
        <v>480</v>
      </c>
      <c r="H34" s="23">
        <v>364</v>
      </c>
      <c r="I34" s="23">
        <v>393</v>
      </c>
      <c r="J34" s="23">
        <v>381</v>
      </c>
      <c r="K34" s="431">
        <v>354</v>
      </c>
      <c r="L34" s="495">
        <v>373</v>
      </c>
      <c r="M34" s="431">
        <v>238</v>
      </c>
      <c r="N34" s="431">
        <v>227</v>
      </c>
      <c r="O34" s="431">
        <v>393</v>
      </c>
      <c r="P34" s="431">
        <v>317</v>
      </c>
      <c r="Q34" s="495">
        <v>295</v>
      </c>
      <c r="R34" s="431">
        <v>272</v>
      </c>
      <c r="S34" s="431">
        <v>318</v>
      </c>
      <c r="T34" s="431">
        <v>364</v>
      </c>
      <c r="U34" s="431">
        <v>447</v>
      </c>
      <c r="V34" s="495">
        <v>350</v>
      </c>
      <c r="W34" s="431">
        <v>1072</v>
      </c>
      <c r="X34" s="431">
        <v>1087</v>
      </c>
      <c r="Y34" s="431">
        <v>461</v>
      </c>
      <c r="Z34" s="431">
        <v>393</v>
      </c>
      <c r="AA34" s="495">
        <v>760</v>
      </c>
      <c r="AB34" s="431">
        <v>415</v>
      </c>
      <c r="AC34" s="431">
        <v>583</v>
      </c>
      <c r="AD34" s="431">
        <v>657</v>
      </c>
      <c r="AE34" s="431">
        <v>571</v>
      </c>
      <c r="AF34" s="495">
        <v>556</v>
      </c>
      <c r="AG34" s="431">
        <v>453</v>
      </c>
      <c r="AH34" s="431">
        <v>422</v>
      </c>
      <c r="AI34" s="431">
        <v>362</v>
      </c>
      <c r="AJ34" s="431">
        <v>306</v>
      </c>
      <c r="AK34" s="495">
        <v>387</v>
      </c>
      <c r="AL34" s="431">
        <v>356</v>
      </c>
      <c r="AM34" s="431">
        <v>177</v>
      </c>
      <c r="AN34" s="431">
        <v>110</v>
      </c>
      <c r="AO34" s="431">
        <v>282</v>
      </c>
      <c r="AP34" s="495">
        <v>231</v>
      </c>
      <c r="AQ34" s="431">
        <v>335</v>
      </c>
      <c r="AR34" s="431">
        <v>442</v>
      </c>
      <c r="AS34" s="431">
        <v>815</v>
      </c>
      <c r="AT34" s="431">
        <v>638</v>
      </c>
      <c r="AU34" s="495">
        <v>562</v>
      </c>
      <c r="AV34" s="431">
        <v>410</v>
      </c>
      <c r="AW34" s="431">
        <v>547</v>
      </c>
      <c r="AX34" s="431">
        <v>614</v>
      </c>
      <c r="AY34" s="431">
        <v>489</v>
      </c>
      <c r="AZ34" s="495">
        <v>520</v>
      </c>
      <c r="BA34" s="431">
        <v>396</v>
      </c>
      <c r="BB34" s="431">
        <v>369</v>
      </c>
      <c r="BC34" s="431">
        <v>115</v>
      </c>
      <c r="BD34" s="431">
        <v>173</v>
      </c>
      <c r="BE34" s="495">
        <v>265</v>
      </c>
      <c r="BF34" s="431">
        <v>253</v>
      </c>
      <c r="BG34" s="431">
        <v>386</v>
      </c>
      <c r="BH34" s="142">
        <v>472</v>
      </c>
      <c r="BI34" s="142">
        <v>483</v>
      </c>
      <c r="BJ34" s="260">
        <v>397</v>
      </c>
      <c r="BK34" s="431">
        <v>478</v>
      </c>
      <c r="BL34" s="431"/>
      <c r="BM34" s="142"/>
      <c r="BN34" s="142"/>
      <c r="BO34" s="260"/>
    </row>
    <row r="35" spans="2:68" s="5" customFormat="1" ht="13.5" customHeight="1" thickBot="1">
      <c r="B35" s="41" t="str">
        <f>names!A105</f>
        <v>Paraksylen</v>
      </c>
      <c r="C35" s="195">
        <v>602</v>
      </c>
      <c r="D35" s="195">
        <v>527</v>
      </c>
      <c r="E35" s="195">
        <v>473</v>
      </c>
      <c r="F35" s="195">
        <v>475</v>
      </c>
      <c r="G35" s="258">
        <v>519</v>
      </c>
      <c r="H35" s="195">
        <v>420</v>
      </c>
      <c r="I35" s="195">
        <v>295</v>
      </c>
      <c r="J35" s="195">
        <v>369</v>
      </c>
      <c r="K35" s="432">
        <v>443</v>
      </c>
      <c r="L35" s="675">
        <v>382</v>
      </c>
      <c r="M35" s="432">
        <v>336</v>
      </c>
      <c r="N35" s="432">
        <v>411</v>
      </c>
      <c r="O35" s="432">
        <v>481</v>
      </c>
      <c r="P35" s="432">
        <v>427</v>
      </c>
      <c r="Q35" s="675">
        <v>416</v>
      </c>
      <c r="R35" s="432">
        <v>459</v>
      </c>
      <c r="S35" s="432">
        <v>438</v>
      </c>
      <c r="T35" s="432">
        <v>431</v>
      </c>
      <c r="U35" s="432">
        <v>396</v>
      </c>
      <c r="V35" s="675">
        <v>431</v>
      </c>
      <c r="W35" s="432">
        <v>461</v>
      </c>
      <c r="X35" s="432">
        <v>459</v>
      </c>
      <c r="Y35" s="432">
        <v>384</v>
      </c>
      <c r="Z35" s="432">
        <v>362</v>
      </c>
      <c r="AA35" s="675">
        <v>418</v>
      </c>
      <c r="AB35" s="432">
        <v>387</v>
      </c>
      <c r="AC35" s="432">
        <v>362</v>
      </c>
      <c r="AD35" s="432">
        <v>431</v>
      </c>
      <c r="AE35" s="432">
        <v>628</v>
      </c>
      <c r="AF35" s="675">
        <v>448</v>
      </c>
      <c r="AG35" s="432">
        <v>534</v>
      </c>
      <c r="AH35" s="432">
        <v>487</v>
      </c>
      <c r="AI35" s="432">
        <v>366</v>
      </c>
      <c r="AJ35" s="432">
        <v>328</v>
      </c>
      <c r="AK35" s="675">
        <v>431</v>
      </c>
      <c r="AL35" s="432">
        <v>402</v>
      </c>
      <c r="AM35" s="432">
        <v>327</v>
      </c>
      <c r="AN35" s="432">
        <v>235</v>
      </c>
      <c r="AO35" s="432">
        <v>236</v>
      </c>
      <c r="AP35" s="675">
        <v>300</v>
      </c>
      <c r="AQ35" s="432">
        <v>243</v>
      </c>
      <c r="AR35" s="432">
        <v>334</v>
      </c>
      <c r="AS35" s="432">
        <v>339</v>
      </c>
      <c r="AT35" s="432">
        <v>344</v>
      </c>
      <c r="AU35" s="675">
        <v>316</v>
      </c>
      <c r="AV35" s="432">
        <v>262</v>
      </c>
      <c r="AW35" s="432">
        <v>393</v>
      </c>
      <c r="AX35" s="432">
        <v>586</v>
      </c>
      <c r="AY35" s="432">
        <v>593</v>
      </c>
      <c r="AZ35" s="675">
        <v>462</v>
      </c>
      <c r="BA35" s="432">
        <v>544</v>
      </c>
      <c r="BB35" s="432">
        <v>481</v>
      </c>
      <c r="BC35" s="432">
        <v>419</v>
      </c>
      <c r="BD35" s="432">
        <v>440</v>
      </c>
      <c r="BE35" s="675">
        <v>472</v>
      </c>
      <c r="BF35" s="432">
        <v>401</v>
      </c>
      <c r="BG35" s="432">
        <v>412</v>
      </c>
      <c r="BH35" s="143">
        <v>404</v>
      </c>
      <c r="BI35" s="143">
        <v>305</v>
      </c>
      <c r="BJ35" s="264">
        <v>382</v>
      </c>
      <c r="BK35" s="432">
        <v>324</v>
      </c>
      <c r="BL35" s="432"/>
      <c r="BM35" s="143"/>
      <c r="BN35" s="143"/>
      <c r="BO35" s="264"/>
    </row>
    <row r="36" spans="2:68" ht="4.5" customHeight="1" thickBot="1">
      <c r="B36" s="47"/>
      <c r="C36" s="190"/>
      <c r="D36" s="190"/>
      <c r="E36" s="190"/>
      <c r="F36" s="190"/>
      <c r="G36" s="190"/>
      <c r="H36" s="190"/>
      <c r="I36" s="190"/>
      <c r="J36" s="190"/>
      <c r="K36" s="38"/>
      <c r="L36" s="38"/>
      <c r="M36" s="38"/>
      <c r="N36" s="38"/>
      <c r="O36" s="53"/>
      <c r="P36" s="53"/>
      <c r="Q36" s="53"/>
      <c r="R36" s="38"/>
      <c r="S36" s="38"/>
      <c r="T36" s="53"/>
      <c r="U36" s="53"/>
      <c r="V36" s="53"/>
      <c r="W36" s="38"/>
      <c r="X36" s="38"/>
      <c r="Y36" s="53"/>
      <c r="Z36" s="53"/>
      <c r="AA36" s="53"/>
      <c r="AC36" s="38"/>
      <c r="AD36" s="53"/>
      <c r="AE36" s="53"/>
      <c r="AF36" s="53"/>
      <c r="AG36" s="466"/>
      <c r="AL36" s="466"/>
      <c r="AQ36" s="466"/>
    </row>
    <row r="37" spans="2:68" ht="45" customHeight="1">
      <c r="B37" s="986" t="str">
        <f>names!A106</f>
        <v>1) Od stycznia 2021 zmiana sposobu prezentacji Dyferencjału URAL / Brent zgodnie z funkcjonowaniem rynku ropy.
    a) Cena Urals &lt; Cena Brent - dyferencjał prezentowany jest ze znakiem ujemnym [-] i ma pozytywny wpływ na wyniki finansowe z tytułu tańszego wsadu,
    b) Cena Urals &gt; Cena Brent - dyferencjał prezentowany jest ze znakiem dodatnim [+] i ma negatywny wpływ na wyniki finansowe z tytułu droższego wsadu.
W celu zachowania porównywalności dane historyczne za lata 2013-2020 zostały skorygowane.
Od 1 stycznia 2022 Dyferencjał z notowań liczony na bazie rzeczywistego udziału przerabianych rop w danym okresie. Notowania rynkowe spot.</v>
      </c>
      <c r="C37" s="986" t="str">
        <f>names!C107</f>
        <v>2) Model downstream margin (MDM) = Revenues (90.7% Products = 22.8% Gasoline + 44.2% Diesel oil + 15.3% HHO + 1.0% SN 150 + 2.9% Ethylene + 2.1% Propylene + 1.2% Benzene + 1.2% PX) – Expenses (100% input = 6.5% Brent crude oil + 91.1% URAL crude oil + 2.4% natural gas).</v>
      </c>
      <c r="D37" s="986">
        <f>names!E107</f>
        <v>0</v>
      </c>
      <c r="E37" s="986">
        <f>names!F107</f>
        <v>0</v>
      </c>
      <c r="F37" s="986">
        <f>names!G107</f>
        <v>0</v>
      </c>
      <c r="G37" s="986">
        <f>names!H107</f>
        <v>0</v>
      </c>
      <c r="H37" s="986">
        <f>names!I107</f>
        <v>0</v>
      </c>
      <c r="I37" s="986">
        <f>names!J107</f>
        <v>0</v>
      </c>
      <c r="J37" s="986">
        <f>names!K107</f>
        <v>0</v>
      </c>
      <c r="K37" s="986">
        <f>names!L107</f>
        <v>0</v>
      </c>
      <c r="L37" s="986">
        <f>names!M107</f>
        <v>0</v>
      </c>
      <c r="M37" s="986">
        <f>names!N107</f>
        <v>0</v>
      </c>
      <c r="N37" s="986">
        <f>names!O107</f>
        <v>0</v>
      </c>
      <c r="O37" s="986">
        <f>names!P107</f>
        <v>0</v>
      </c>
      <c r="P37" s="986">
        <f>names!Q107</f>
        <v>0</v>
      </c>
      <c r="Q37" s="986">
        <f>names!R107</f>
        <v>0</v>
      </c>
      <c r="R37" s="986">
        <f>names!S107</f>
        <v>0</v>
      </c>
      <c r="S37" s="986">
        <f>names!T107</f>
        <v>0</v>
      </c>
      <c r="T37" s="986">
        <f>names!U107</f>
        <v>0</v>
      </c>
      <c r="U37" s="986">
        <f>names!V107</f>
        <v>0</v>
      </c>
      <c r="V37" s="986">
        <f>names!W107</f>
        <v>0</v>
      </c>
      <c r="W37" s="986">
        <f>names!X107</f>
        <v>0</v>
      </c>
      <c r="X37" s="986">
        <f>names!Y107</f>
        <v>0</v>
      </c>
      <c r="Y37" s="986">
        <f>names!Z107</f>
        <v>0</v>
      </c>
      <c r="Z37" s="986">
        <f>names!AA107</f>
        <v>0</v>
      </c>
      <c r="AA37" s="986">
        <f>names!AB107</f>
        <v>0</v>
      </c>
      <c r="AB37" s="986">
        <f>names!AC107</f>
        <v>0</v>
      </c>
      <c r="AC37" s="986">
        <f>names!AD107</f>
        <v>0</v>
      </c>
      <c r="AD37" s="986">
        <f>names!AE107</f>
        <v>0</v>
      </c>
      <c r="AE37" s="986">
        <f>names!AF107</f>
        <v>0</v>
      </c>
      <c r="AF37" s="986">
        <f>names!AG107</f>
        <v>0</v>
      </c>
      <c r="AG37" s="986">
        <f>names!AH107</f>
        <v>0</v>
      </c>
      <c r="AH37" s="986">
        <f>names!AI107</f>
        <v>0</v>
      </c>
      <c r="AI37" s="986">
        <f>names!AJ107</f>
        <v>0</v>
      </c>
      <c r="AJ37" s="986">
        <f>names!AK107</f>
        <v>0</v>
      </c>
      <c r="AK37" s="986">
        <f>names!AL107</f>
        <v>0</v>
      </c>
      <c r="AL37" s="986">
        <f>names!AM107</f>
        <v>0</v>
      </c>
      <c r="AM37" s="986">
        <f>names!AN107</f>
        <v>0</v>
      </c>
      <c r="AN37" s="986">
        <f>names!AO107</f>
        <v>0</v>
      </c>
      <c r="AO37" s="986">
        <f>names!AP107</f>
        <v>0</v>
      </c>
      <c r="AP37" s="986">
        <f>names!AQ107</f>
        <v>0</v>
      </c>
      <c r="AQ37" s="986">
        <f>names!AR107</f>
        <v>0</v>
      </c>
      <c r="AR37" s="986">
        <f>names!AS107</f>
        <v>0</v>
      </c>
      <c r="AS37" s="986">
        <f>names!AT107</f>
        <v>0</v>
      </c>
      <c r="AT37" s="986">
        <f>names!AU107</f>
        <v>0</v>
      </c>
      <c r="AU37" s="986">
        <f>names!AV107</f>
        <v>0</v>
      </c>
      <c r="AV37" s="986">
        <f>names!AW107</f>
        <v>0</v>
      </c>
      <c r="AW37" s="986">
        <f>names!AX107</f>
        <v>0</v>
      </c>
    </row>
    <row r="38" spans="2:68">
      <c r="B38" s="989" t="str">
        <f>names!A107</f>
        <v>2) Modelowa marża downstream (MMD) = Przychody (90,7% Produkty = 22,8% Benzyna + 44,2% ON + 15,3% COO + 1,0% SN 150 + 2,9% Etylen + 2,1% Propylen + 1,2% Benzen + 1,2% PX) – Koszty (wsad 100% = 6,5% Ropa Brent + 91,1% Ropa URAL + 2,4% Gaz ziemny).</v>
      </c>
      <c r="C38" s="989"/>
      <c r="D38" s="989"/>
      <c r="E38" s="989"/>
      <c r="F38" s="989"/>
      <c r="G38" s="989"/>
      <c r="H38" s="989"/>
      <c r="I38" s="989"/>
      <c r="J38" s="989"/>
      <c r="K38" s="989"/>
      <c r="L38" s="989"/>
      <c r="M38" s="989"/>
      <c r="N38" s="989"/>
      <c r="O38" s="989"/>
      <c r="P38" s="989"/>
      <c r="Q38" s="989"/>
      <c r="R38" s="989"/>
      <c r="S38" s="989"/>
      <c r="T38" s="989"/>
      <c r="U38" s="989"/>
      <c r="V38" s="989"/>
      <c r="W38" s="989"/>
      <c r="X38" s="989"/>
      <c r="Y38" s="989"/>
      <c r="Z38" s="989"/>
      <c r="AA38" s="989"/>
      <c r="AB38" s="989"/>
      <c r="AC38" s="989"/>
      <c r="AD38" s="989"/>
      <c r="AE38" s="989"/>
      <c r="AF38" s="989"/>
      <c r="AG38" s="989"/>
      <c r="AH38" s="989"/>
      <c r="AI38" s="989"/>
      <c r="AJ38" s="989"/>
      <c r="AK38" s="989"/>
      <c r="AL38" s="989"/>
      <c r="AM38" s="989"/>
      <c r="AN38" s="989"/>
      <c r="AO38" s="989"/>
      <c r="AP38" s="989"/>
      <c r="AQ38" s="989"/>
      <c r="AR38" s="989"/>
      <c r="AS38" s="989"/>
      <c r="AT38" s="989"/>
      <c r="AU38" s="989"/>
      <c r="AV38" s="989"/>
      <c r="AW38" s="989"/>
      <c r="AX38" s="989"/>
      <c r="AY38" s="989"/>
      <c r="AZ38" s="989"/>
      <c r="BA38" s="989"/>
      <c r="BB38" s="989"/>
      <c r="BC38" s="989"/>
      <c r="BD38" s="989"/>
      <c r="BE38" s="989"/>
      <c r="BF38" s="989"/>
      <c r="BK38" s="721"/>
    </row>
    <row r="39" spans="2:68" ht="17.25" customHeight="1">
      <c r="B39" s="986" t="str">
        <f>names!A108</f>
        <v>3) Modelowa marża rafineryjna = Przychody (Produkty (93,5%) = 36% Benzyna + 43% ON + 14,5% COO) minus koszty (100% wsadu: ropa Brent i pozostałe surowce wyceniane po ropie Brent); ceny produktów wg notowań USD/bbl. Od 1 sierpnia 2022 roku modelowa marża rafineryjna liczona według formuły:  Modelowa marża rafineryjna = Przychody (Produkty (93,6%) = 33% Benzyna + 48% ON + 13% COO) minus koszty (100% wsadu: 98% Ropa Brent + 2% Gaz ziemny). Ceny produktów wg notowań USD/bbl.</v>
      </c>
      <c r="C39" s="986"/>
      <c r="D39" s="986"/>
      <c r="E39" s="986"/>
      <c r="F39" s="986"/>
      <c r="G39" s="986"/>
      <c r="H39" s="986"/>
      <c r="I39" s="986"/>
      <c r="J39" s="986"/>
      <c r="K39" s="986"/>
      <c r="L39" s="986"/>
      <c r="M39" s="986"/>
      <c r="N39" s="986"/>
      <c r="O39" s="986"/>
      <c r="P39" s="986"/>
      <c r="Q39" s="986"/>
      <c r="R39" s="986"/>
      <c r="S39" s="986"/>
      <c r="T39" s="986"/>
      <c r="U39" s="986"/>
      <c r="V39" s="986"/>
      <c r="W39" s="986"/>
      <c r="X39" s="986"/>
      <c r="Y39" s="986"/>
      <c r="Z39" s="986"/>
      <c r="AA39" s="986"/>
      <c r="AB39" s="986"/>
      <c r="AC39" s="986"/>
      <c r="AD39" s="986"/>
      <c r="AE39" s="986"/>
      <c r="AF39" s="986"/>
      <c r="AG39" s="986"/>
      <c r="AH39" s="986"/>
      <c r="AI39" s="986"/>
      <c r="AJ39" s="986"/>
      <c r="AK39" s="986"/>
      <c r="AL39" s="986"/>
      <c r="AM39" s="986"/>
      <c r="AN39" s="986"/>
      <c r="AO39" s="986"/>
      <c r="AP39" s="986"/>
      <c r="AQ39" s="986"/>
      <c r="AR39" s="986"/>
      <c r="AS39" s="986"/>
      <c r="AT39" s="986"/>
      <c r="AU39" s="986"/>
      <c r="AV39" s="986"/>
      <c r="AW39" s="986"/>
      <c r="AX39" s="986"/>
      <c r="AY39" s="986"/>
      <c r="AZ39" s="986"/>
      <c r="BA39" s="986"/>
      <c r="BB39" s="986"/>
      <c r="BC39" s="986"/>
      <c r="BD39" s="986"/>
      <c r="BE39" s="986"/>
      <c r="BF39" s="986"/>
      <c r="BK39" s="721"/>
    </row>
    <row r="40" spans="2:68">
      <c r="B40" s="989" t="str">
        <f>names!A109</f>
        <v>4) Modelowa marża petrochemiczna = Przychody (98% Produkty = 44% HDPE +  7% LDPE + 35% PP homo + 12% PP copo) - ceny produktów wg notowań kontraktowych minus koszty (100% wsadu = 75% Nafta + 25% LS VGO) - ceny produktów wg notowań spot.</v>
      </c>
      <c r="C40" s="989"/>
      <c r="D40" s="989"/>
      <c r="E40" s="989"/>
      <c r="F40" s="989"/>
      <c r="G40" s="989"/>
      <c r="H40" s="989"/>
      <c r="I40" s="989"/>
      <c r="J40" s="989"/>
      <c r="K40" s="989"/>
      <c r="L40" s="989"/>
      <c r="M40" s="989"/>
      <c r="N40" s="989"/>
      <c r="O40" s="989"/>
      <c r="P40" s="989"/>
      <c r="Q40" s="989"/>
      <c r="R40" s="989"/>
      <c r="S40" s="989"/>
      <c r="T40" s="989"/>
      <c r="U40" s="989"/>
      <c r="V40" s="989"/>
      <c r="W40" s="989"/>
      <c r="X40" s="989"/>
      <c r="Y40" s="989"/>
      <c r="Z40" s="989"/>
      <c r="AA40" s="989"/>
      <c r="AB40" s="989"/>
      <c r="AC40" s="989"/>
      <c r="AD40" s="989"/>
      <c r="AE40" s="989"/>
      <c r="AF40" s="989"/>
      <c r="AG40" s="989"/>
      <c r="AH40" s="989"/>
      <c r="AI40" s="989"/>
      <c r="AJ40" s="989"/>
      <c r="AK40" s="989"/>
      <c r="AL40" s="989"/>
      <c r="AM40" s="989"/>
      <c r="AN40" s="989"/>
      <c r="AO40" s="989"/>
      <c r="AP40" s="989"/>
      <c r="AQ40" s="989"/>
      <c r="AR40" s="989"/>
      <c r="AS40" s="989"/>
      <c r="AT40" s="989"/>
      <c r="AU40" s="989"/>
      <c r="AV40" s="989"/>
      <c r="AW40" s="989"/>
      <c r="AX40" s="989"/>
      <c r="AY40" s="989"/>
      <c r="AZ40" s="989"/>
      <c r="BA40" s="989"/>
      <c r="BB40" s="989"/>
      <c r="BC40" s="989"/>
      <c r="BD40" s="989"/>
      <c r="BE40" s="989"/>
      <c r="BF40" s="989"/>
      <c r="BK40" s="721"/>
      <c r="BP40" s="526"/>
    </row>
    <row r="41" spans="2:68" ht="19.5" customHeight="1">
      <c r="B41" s="990" t="str">
        <f>names!A110</f>
        <v>5) Modelowa marża petrochemiczna na olefinach = przychody (100% Produkty = 50% Etylen + 30% Propylen + 10% Benzen + 10% Toluen) – ceny produktów wg notowań kontraktowych minus koszty(100% wsadu = 75% Nafta + 25% LS VGO); ceny produktów wg notowań.                                                                                                                                                                                                                                                                                                                                                                                     Od 2016 roku Modelowa marża petrochemiczna na olefinach = Przychody (100% Produkty = 0,85*Etylen*54% + 0,92*Propylen*28% + 0,84*Glikole*9% + 0,81*Butadien*6% + 0,8*Tlenek Etylenu*3%) minus koszty (100% Wsad = 100% Nafta); ceny produktów wg notowań.</v>
      </c>
      <c r="C41" s="990"/>
      <c r="D41" s="990"/>
      <c r="E41" s="990"/>
      <c r="F41" s="990"/>
      <c r="G41" s="990"/>
      <c r="H41" s="990"/>
      <c r="I41" s="990"/>
      <c r="J41" s="990"/>
      <c r="K41" s="990"/>
      <c r="L41" s="990"/>
      <c r="M41" s="990"/>
      <c r="N41" s="990"/>
      <c r="O41" s="990"/>
      <c r="P41" s="990"/>
      <c r="Q41" s="990"/>
      <c r="R41" s="990"/>
      <c r="S41" s="990"/>
      <c r="T41" s="990"/>
      <c r="U41" s="990"/>
      <c r="V41" s="990"/>
      <c r="W41" s="990"/>
      <c r="X41" s="990"/>
      <c r="Y41" s="990"/>
      <c r="Z41" s="990"/>
      <c r="AA41" s="990"/>
      <c r="AB41" s="990"/>
      <c r="AC41" s="990"/>
      <c r="AD41" s="990"/>
      <c r="AE41" s="990"/>
      <c r="AF41" s="990"/>
      <c r="AG41" s="990"/>
      <c r="AH41" s="990"/>
      <c r="AI41" s="990"/>
      <c r="AJ41" s="990"/>
      <c r="AK41" s="990"/>
      <c r="AL41" s="990"/>
      <c r="AM41" s="990"/>
      <c r="AN41" s="990"/>
      <c r="AO41" s="990"/>
      <c r="AP41" s="990"/>
      <c r="AQ41" s="990"/>
      <c r="AR41" s="990"/>
      <c r="AS41" s="990"/>
      <c r="AT41" s="990"/>
      <c r="AU41" s="990"/>
      <c r="AV41" s="990"/>
      <c r="AW41" s="990"/>
      <c r="AX41" s="990"/>
      <c r="AY41" s="990"/>
      <c r="AZ41" s="990"/>
      <c r="BA41" s="990"/>
      <c r="BB41" s="990"/>
      <c r="BC41" s="990"/>
      <c r="BD41" s="990"/>
      <c r="BE41" s="990"/>
      <c r="BF41" s="990"/>
      <c r="BG41" s="990"/>
      <c r="BK41" s="721"/>
    </row>
    <row r="42" spans="2:68">
      <c r="B42" s="990" t="str">
        <f>names!A111</f>
        <v>6) Na bazie notowań indeksu TGEgasDA publikowanych przez Towarową Giełdę Energii (TGE).</v>
      </c>
      <c r="C42" s="990"/>
      <c r="D42" s="990"/>
      <c r="E42" s="990"/>
      <c r="F42" s="990"/>
      <c r="G42" s="990"/>
      <c r="H42" s="990"/>
      <c r="I42" s="990"/>
      <c r="J42" s="990"/>
      <c r="K42" s="990"/>
      <c r="L42" s="990"/>
      <c r="M42" s="990"/>
      <c r="N42" s="990"/>
      <c r="O42" s="990"/>
      <c r="P42" s="990"/>
      <c r="Q42" s="990"/>
      <c r="R42" s="990"/>
      <c r="S42" s="990"/>
      <c r="T42" s="990"/>
      <c r="U42" s="990"/>
      <c r="V42" s="990"/>
      <c r="W42" s="990"/>
      <c r="X42" s="990"/>
      <c r="Y42" s="990"/>
      <c r="Z42" s="990"/>
      <c r="AA42" s="990"/>
      <c r="AB42" s="990"/>
      <c r="AC42" s="990"/>
      <c r="AD42" s="990"/>
      <c r="AE42" s="990"/>
      <c r="AF42" s="990"/>
      <c r="AG42" s="990"/>
      <c r="AH42" s="990"/>
      <c r="AI42" s="990"/>
      <c r="AJ42" s="990"/>
      <c r="AK42" s="990"/>
      <c r="AL42" s="990"/>
      <c r="AM42" s="990"/>
      <c r="AN42" s="990"/>
      <c r="AO42" s="990"/>
      <c r="AP42" s="990"/>
      <c r="AQ42" s="990"/>
      <c r="AR42" s="990"/>
      <c r="AS42" s="990"/>
      <c r="AT42" s="990"/>
      <c r="AU42" s="990"/>
      <c r="AV42" s="990"/>
      <c r="AW42" s="990"/>
      <c r="AX42" s="990"/>
      <c r="AY42" s="990"/>
      <c r="AZ42" s="990"/>
      <c r="BA42" s="990"/>
      <c r="BB42" s="990"/>
    </row>
    <row r="43" spans="2:68" ht="10.15" customHeight="1">
      <c r="B43" s="989" t="str">
        <f>names!A112</f>
        <v>7) Marże (crack) dla produktów rafineryjnych i petrochemicznych (z wyjątkiem polimerów) wyliczone jako różnica pomiędzy notowaniem danego produktu a notowaniem ropy Brent DTD.</v>
      </c>
      <c r="C43" s="989"/>
      <c r="D43" s="989"/>
      <c r="E43" s="989"/>
      <c r="F43" s="989"/>
      <c r="G43" s="989"/>
      <c r="H43" s="989"/>
      <c r="I43" s="989"/>
      <c r="J43" s="989"/>
      <c r="K43" s="989"/>
      <c r="L43" s="989"/>
      <c r="M43" s="989"/>
      <c r="N43" s="989"/>
      <c r="O43" s="989"/>
      <c r="P43" s="989"/>
      <c r="Q43" s="989"/>
      <c r="R43" s="989"/>
      <c r="S43" s="989"/>
      <c r="T43" s="989"/>
      <c r="U43" s="989"/>
      <c r="V43" s="989"/>
      <c r="W43" s="989"/>
      <c r="X43" s="989"/>
      <c r="Y43" s="989"/>
      <c r="Z43" s="989"/>
      <c r="AA43" s="989"/>
      <c r="AB43" s="989"/>
      <c r="AC43" s="989"/>
      <c r="AD43" s="989"/>
      <c r="AE43" s="989"/>
      <c r="AF43" s="989"/>
      <c r="AG43" s="989"/>
      <c r="AH43" s="989"/>
      <c r="AI43" s="989"/>
      <c r="AJ43" s="989"/>
      <c r="AK43" s="989"/>
      <c r="AL43" s="989"/>
      <c r="AM43" s="989"/>
      <c r="AN43" s="989"/>
      <c r="AO43" s="989"/>
      <c r="AP43" s="989"/>
      <c r="AQ43" s="989"/>
      <c r="AR43" s="989"/>
      <c r="AS43" s="989"/>
      <c r="AT43" s="989"/>
      <c r="AU43" s="989"/>
      <c r="AV43" s="989"/>
      <c r="AW43" s="989"/>
      <c r="AX43" s="989"/>
      <c r="AY43" s="989"/>
      <c r="AZ43" s="989"/>
    </row>
    <row r="44" spans="2:68" ht="10.15" customHeight="1">
      <c r="B44" s="989" t="str">
        <f>names!A113</f>
        <v>8) Marża (crack) dla polimerów wyliczona jako różnica pomiędzy notowaniami polimerów a notowaniami monomerów.</v>
      </c>
      <c r="C44" s="989"/>
      <c r="D44" s="989"/>
      <c r="E44" s="989"/>
      <c r="F44" s="989"/>
      <c r="G44" s="989"/>
      <c r="H44" s="989"/>
      <c r="I44" s="989"/>
      <c r="J44" s="989"/>
      <c r="K44" s="989"/>
      <c r="L44" s="989"/>
      <c r="M44" s="989"/>
      <c r="N44" s="989"/>
      <c r="O44" s="989"/>
      <c r="P44" s="989"/>
      <c r="Q44" s="989"/>
      <c r="R44" s="989"/>
      <c r="S44" s="989"/>
      <c r="T44" s="989"/>
      <c r="U44" s="989"/>
      <c r="V44" s="989"/>
      <c r="W44" s="989"/>
      <c r="X44" s="989"/>
      <c r="Y44" s="989"/>
      <c r="Z44" s="989"/>
      <c r="AA44" s="989"/>
      <c r="AB44" s="989"/>
      <c r="AC44" s="989"/>
      <c r="AD44" s="989"/>
      <c r="AE44" s="989"/>
      <c r="AF44" s="989"/>
      <c r="AG44" s="989"/>
      <c r="AH44" s="989"/>
      <c r="AI44" s="989"/>
      <c r="AJ44" s="989"/>
      <c r="AK44" s="989"/>
      <c r="AL44" s="989"/>
      <c r="AM44" s="989"/>
      <c r="AN44" s="989"/>
      <c r="AO44" s="989"/>
      <c r="AP44" s="989"/>
      <c r="AQ44" s="989"/>
      <c r="AR44" s="989"/>
      <c r="AS44" s="989"/>
      <c r="AT44" s="989"/>
      <c r="AU44" s="989"/>
      <c r="AV44" s="989"/>
      <c r="AW44" s="989"/>
      <c r="AX44" s="989"/>
      <c r="AY44" s="989"/>
      <c r="AZ44" s="989"/>
      <c r="BA44" s="989"/>
      <c r="BB44" s="989"/>
    </row>
    <row r="47" spans="2:68" s="721" customFormat="1" ht="9.75"/>
    <row r="48" spans="2:68">
      <c r="B48" s="526"/>
    </row>
  </sheetData>
  <mergeCells count="8">
    <mergeCell ref="B43:AZ43"/>
    <mergeCell ref="B44:BB44"/>
    <mergeCell ref="B37:AW37"/>
    <mergeCell ref="B38:BF38"/>
    <mergeCell ref="B39:BF39"/>
    <mergeCell ref="B40:BF40"/>
    <mergeCell ref="B41:BG41"/>
    <mergeCell ref="B42:BB42"/>
  </mergeCells>
  <conditionalFormatting sqref="A47:XFD47">
    <cfRule type="cellIs" dxfId="110"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8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34998626667073579"/>
    <pageSetUpPr fitToPage="1"/>
  </sheetPr>
  <dimension ref="A2:DO26"/>
  <sheetViews>
    <sheetView showGridLines="0" view="pageBreakPreview" zoomScaleNormal="100" zoomScaleSheetLayoutView="100" workbookViewId="0">
      <pane xSplit="6" ySplit="6" topLeftCell="G7" activePane="bottomRight" state="frozen"/>
      <selection activeCell="B7" sqref="B7"/>
      <selection pane="topRight" activeCell="B7" sqref="B7"/>
      <selection pane="bottomLeft" activeCell="B7" sqref="B7"/>
      <selection pane="bottomRight"/>
    </sheetView>
  </sheetViews>
  <sheetFormatPr defaultColWidth="9.28515625" defaultRowHeight="11.25" outlineLevelCol="1"/>
  <cols>
    <col min="1" max="1" width="1.28515625" style="5" customWidth="1"/>
    <col min="2" max="2" width="43.7109375" style="5" customWidth="1"/>
    <col min="3" max="6" width="7.28515625" style="5" hidden="1" customWidth="1" outlineLevel="1"/>
    <col min="7" max="7" width="9.28515625" style="5" hidden="1" customWidth="1" collapsed="1"/>
    <col min="8" max="11" width="7.28515625" style="5" hidden="1" customWidth="1" outlineLevel="1"/>
    <col min="12" max="12" width="9.28515625" style="5" hidden="1" customWidth="1" collapsed="1"/>
    <col min="13" max="15" width="7.28515625" style="5" hidden="1" customWidth="1" outlineLevel="1"/>
    <col min="16" max="16" width="6.5703125" style="5" hidden="1" customWidth="1" outlineLevel="1"/>
    <col min="17" max="17" width="9.28515625" style="5" hidden="1" customWidth="1" collapsed="1"/>
    <col min="18" max="21" width="7.28515625" style="5" hidden="1" customWidth="1" outlineLevel="1"/>
    <col min="22" max="22" width="9.28515625" style="5" hidden="1" customWidth="1" collapsed="1"/>
    <col min="23" max="26" width="7.28515625" style="5" hidden="1" customWidth="1" outlineLevel="1"/>
    <col min="27" max="27" width="9.28515625" style="5" hidden="1" customWidth="1" collapsed="1"/>
    <col min="28" max="31" width="7.28515625" style="5" hidden="1" customWidth="1" outlineLevel="1"/>
    <col min="32" max="32" width="9.28515625" style="5" hidden="1" customWidth="1" collapsed="1"/>
    <col min="33" max="36" width="7.28515625" style="5" hidden="1" customWidth="1" outlineLevel="1"/>
    <col min="37" max="37" width="9.28515625" style="5" hidden="1" customWidth="1" collapsed="1"/>
    <col min="38" max="41" width="7.28515625" style="5" hidden="1" customWidth="1" outlineLevel="1"/>
    <col min="42" max="42" width="9.28515625" style="5" hidden="1" customWidth="1" collapsed="1"/>
    <col min="43" max="43" width="7.28515625" style="5" hidden="1" customWidth="1" outlineLevel="1" collapsed="1"/>
    <col min="44" max="46" width="7.28515625" style="5" hidden="1" customWidth="1" outlineLevel="1"/>
    <col min="47" max="47" width="9.28515625" style="5" customWidth="1" collapsed="1"/>
    <col min="48" max="51" width="7.28515625" style="5" hidden="1" customWidth="1" outlineLevel="1"/>
    <col min="52" max="52" width="8.42578125" style="5" customWidth="1" collapsed="1"/>
    <col min="53" max="56" width="7.28515625" style="5" hidden="1" customWidth="1" outlineLevel="1"/>
    <col min="57" max="57" width="8.5703125" style="5" customWidth="1" collapsed="1"/>
    <col min="58" max="61" width="7.28515625" style="5" hidden="1" customWidth="1" outlineLevel="1"/>
    <col min="62" max="62" width="9.28515625" style="5" bestFit="1" customWidth="1" collapsed="1"/>
    <col min="63" max="66" width="7.28515625" style="5" hidden="1" customWidth="1" outlineLevel="1"/>
    <col min="67" max="67" width="7.7109375" style="5" hidden="1" customWidth="1" outlineLevel="1"/>
    <col min="68" max="68" width="7.5703125" style="5" hidden="1" customWidth="1" outlineLevel="1"/>
    <col min="69" max="70" width="7.28515625" style="5" hidden="1" customWidth="1" outlineLevel="1"/>
    <col min="71" max="71" width="7.28515625" style="5" hidden="1" customWidth="1" collapsed="1"/>
    <col min="72" max="74" width="7.28515625" style="5" hidden="1" customWidth="1" outlineLevel="1"/>
    <col min="75" max="75" width="7.28515625" style="5" hidden="1" customWidth="1" collapsed="1"/>
    <col min="76" max="77" width="7.28515625" style="5" hidden="1" customWidth="1" outlineLevel="1"/>
    <col min="78" max="78" width="7.5703125" style="5" hidden="1" customWidth="1" outlineLevel="1"/>
    <col min="79" max="79" width="7.5703125" style="5" hidden="1" customWidth="1" collapsed="1"/>
    <col min="80" max="81" width="7.28515625" style="5" hidden="1" customWidth="1" outlineLevel="1"/>
    <col min="82" max="82" width="7.5703125" style="5" hidden="1" customWidth="1" outlineLevel="1"/>
    <col min="83" max="83" width="7.5703125" style="5" hidden="1" customWidth="1" collapsed="1"/>
    <col min="84" max="85" width="7.28515625" style="5" hidden="1" customWidth="1" outlineLevel="1"/>
    <col min="86" max="86" width="7.5703125" style="5" hidden="1" customWidth="1" outlineLevel="1"/>
    <col min="87" max="87" width="7.5703125" style="5" hidden="1" customWidth="1" collapsed="1"/>
    <col min="88" max="88" width="7.5703125" style="5" hidden="1" customWidth="1" outlineLevel="1"/>
    <col min="89" max="89" width="7.28515625" style="5" hidden="1" customWidth="1" outlineLevel="1"/>
    <col min="90" max="90" width="7.5703125" style="5" hidden="1" customWidth="1" outlineLevel="1"/>
    <col min="91" max="91" width="7.5703125" style="5" hidden="1" customWidth="1" collapsed="1"/>
    <col min="92" max="94" width="7.5703125" style="5" hidden="1" customWidth="1" outlineLevel="1"/>
    <col min="95" max="95" width="7.5703125" style="5" hidden="1" customWidth="1" collapsed="1"/>
    <col min="96" max="98" width="7.5703125" style="5" hidden="1" customWidth="1" outlineLevel="1"/>
    <col min="99" max="99" width="7.5703125" style="5" hidden="1" customWidth="1" collapsed="1"/>
    <col min="100" max="102" width="7.5703125" style="5" hidden="1" customWidth="1" outlineLevel="1"/>
    <col min="103" max="103" width="7.5703125" style="5" customWidth="1" collapsed="1"/>
    <col min="104" max="106" width="7.5703125" style="5" hidden="1" customWidth="1" outlineLevel="1"/>
    <col min="107" max="107" width="7.5703125" style="5" customWidth="1" collapsed="1"/>
    <col min="108" max="110" width="7.5703125" style="5" hidden="1" customWidth="1" outlineLevel="1"/>
    <col min="111" max="111" width="7.5703125" style="5" customWidth="1" collapsed="1"/>
    <col min="112" max="114" width="7.5703125" style="5" hidden="1" customWidth="1" outlineLevel="1"/>
    <col min="115" max="115" width="7.5703125" style="5" customWidth="1" collapsed="1"/>
    <col min="116" max="119" width="7.5703125" style="5" hidden="1" customWidth="1"/>
    <col min="120" max="16384" width="9.28515625" style="5"/>
  </cols>
  <sheetData>
    <row r="2" spans="1:119" ht="15.75">
      <c r="B2" s="719" t="str">
        <f>names!A180</f>
        <v>Kursy walutowe</v>
      </c>
      <c r="BF2" s="664"/>
      <c r="BK2" s="664"/>
    </row>
    <row r="3" spans="1:119" ht="10.15" customHeight="1">
      <c r="B3" s="806"/>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1:119" ht="15.75" customHeight="1" thickBot="1">
      <c r="B4" s="991" t="str">
        <f>names!A182</f>
        <v>Waluta</v>
      </c>
      <c r="C4" s="993" t="str">
        <f>names!A196</f>
        <v>Kurs średni 1)</v>
      </c>
      <c r="D4" s="994"/>
      <c r="E4" s="994"/>
      <c r="F4" s="994"/>
      <c r="G4" s="994"/>
      <c r="H4" s="994"/>
      <c r="I4" s="994"/>
      <c r="J4" s="994"/>
      <c r="K4" s="994"/>
      <c r="L4" s="994"/>
      <c r="M4" s="994"/>
      <c r="N4" s="994"/>
      <c r="O4" s="994"/>
      <c r="P4" s="994"/>
      <c r="Q4" s="994"/>
      <c r="R4" s="994"/>
      <c r="S4" s="994"/>
      <c r="T4" s="994"/>
      <c r="U4" s="994"/>
      <c r="V4" s="994"/>
      <c r="W4" s="994"/>
      <c r="X4" s="994"/>
      <c r="Y4" s="994"/>
      <c r="Z4" s="994"/>
      <c r="AA4" s="994"/>
      <c r="AB4" s="994"/>
      <c r="AC4" s="994"/>
      <c r="AD4" s="994"/>
      <c r="AE4" s="994"/>
      <c r="AF4" s="994"/>
      <c r="AG4" s="994"/>
      <c r="AH4" s="994"/>
      <c r="AI4" s="994"/>
      <c r="AJ4" s="994"/>
      <c r="AK4" s="994"/>
      <c r="AL4" s="994"/>
      <c r="AM4" s="994"/>
      <c r="AN4" s="994"/>
      <c r="AO4" s="994"/>
      <c r="AP4" s="994"/>
      <c r="AQ4" s="994"/>
      <c r="AR4" s="994"/>
      <c r="AS4" s="994"/>
      <c r="AT4" s="994"/>
      <c r="AU4" s="994"/>
      <c r="AV4" s="994"/>
      <c r="AW4" s="994"/>
      <c r="AX4" s="994"/>
      <c r="AY4" s="994"/>
      <c r="AZ4" s="994"/>
      <c r="BA4" s="994"/>
      <c r="BB4" s="994"/>
      <c r="BC4" s="994"/>
      <c r="BD4" s="994"/>
      <c r="BE4" s="994"/>
      <c r="BF4" s="994"/>
      <c r="BG4" s="994"/>
      <c r="BH4" s="994"/>
      <c r="BI4" s="994"/>
      <c r="BJ4" s="994"/>
      <c r="BK4" s="995"/>
      <c r="BL4" s="995"/>
      <c r="BM4" s="995"/>
      <c r="BN4" s="995"/>
      <c r="BO4" s="996"/>
      <c r="BP4" s="993" t="str">
        <f>names!A197</f>
        <v>Kurs na koniec 1)</v>
      </c>
      <c r="BQ4" s="994"/>
      <c r="BR4" s="994"/>
      <c r="BS4" s="994"/>
      <c r="BT4" s="994"/>
      <c r="BU4" s="994"/>
      <c r="BV4" s="994"/>
      <c r="BW4" s="994"/>
      <c r="BX4" s="994"/>
      <c r="BY4" s="994"/>
      <c r="BZ4" s="994"/>
      <c r="CA4" s="994"/>
      <c r="CB4" s="994"/>
      <c r="CC4" s="994"/>
      <c r="CD4" s="994"/>
      <c r="CE4" s="994"/>
      <c r="CF4" s="994"/>
      <c r="CG4" s="994"/>
      <c r="CH4" s="994"/>
      <c r="CI4" s="994"/>
      <c r="CJ4" s="994"/>
      <c r="CK4" s="994"/>
      <c r="CL4" s="994"/>
      <c r="CM4" s="994"/>
      <c r="CN4" s="994"/>
      <c r="CO4" s="994"/>
      <c r="CP4" s="994"/>
      <c r="CQ4" s="994"/>
      <c r="CR4" s="994"/>
      <c r="CS4" s="994"/>
      <c r="CT4" s="994"/>
      <c r="CU4" s="994"/>
      <c r="CV4" s="994"/>
      <c r="CW4" s="994"/>
      <c r="CX4" s="994"/>
      <c r="CY4" s="994"/>
      <c r="CZ4" s="994"/>
      <c r="DA4" s="994"/>
      <c r="DB4" s="994"/>
      <c r="DC4" s="994"/>
      <c r="DD4" s="994"/>
      <c r="DE4" s="994"/>
      <c r="DF4" s="994"/>
      <c r="DG4" s="994"/>
      <c r="DH4" s="994"/>
      <c r="DI4" s="994"/>
      <c r="DJ4" s="994"/>
      <c r="DK4" s="994"/>
      <c r="DL4" s="997"/>
      <c r="DM4" s="997"/>
      <c r="DN4" s="997"/>
      <c r="DO4" s="997"/>
    </row>
    <row r="5" spans="1:119" ht="30" customHeight="1">
      <c r="B5" s="992">
        <f>names!A183</f>
        <v>0</v>
      </c>
      <c r="C5" s="9" t="str">
        <f>names!$A114</f>
        <v>I kw.
2013</v>
      </c>
      <c r="D5" s="9" t="str">
        <f>names!$A115</f>
        <v>II kw.
2013</v>
      </c>
      <c r="E5" s="9" t="str">
        <f>names!$A116</f>
        <v>III kw.
2013</v>
      </c>
      <c r="F5" s="9" t="str">
        <f>names!$A117</f>
        <v>IV kw.
2013</v>
      </c>
      <c r="G5" s="9" t="str">
        <f>names!$A118</f>
        <v>12 m-cy
2013</v>
      </c>
      <c r="H5" s="9" t="str">
        <f>names!$A119</f>
        <v>I kw.
2014</v>
      </c>
      <c r="I5" s="9" t="str">
        <f>names!$A120</f>
        <v>II kw.
2014</v>
      </c>
      <c r="J5" s="9" t="str">
        <f>names!$A121</f>
        <v>III kw.
2014</v>
      </c>
      <c r="K5" s="9" t="str">
        <f>names!$A122</f>
        <v>IV kw.
2014</v>
      </c>
      <c r="L5" s="9" t="str">
        <f>names!$A123</f>
        <v>12 m-cy
2014</v>
      </c>
      <c r="M5" s="9" t="str">
        <f>names!$A124</f>
        <v>I kw.
2015</v>
      </c>
      <c r="N5" s="9" t="str">
        <f>names!$A125</f>
        <v>II kw.
2015</v>
      </c>
      <c r="O5" s="9" t="str">
        <f>names!$A126</f>
        <v>III kw.
2015</v>
      </c>
      <c r="P5" s="9" t="str">
        <f>names!$A127</f>
        <v>IV kw.
2015</v>
      </c>
      <c r="Q5" s="9" t="str">
        <f>names!$A128</f>
        <v>12 m-cy
2015</v>
      </c>
      <c r="R5" s="9" t="str">
        <f>names!$A129</f>
        <v>I kw.
2016</v>
      </c>
      <c r="S5" s="9" t="str">
        <f>names!$A130</f>
        <v>II kw.
2016</v>
      </c>
      <c r="T5" s="9" t="str">
        <f>names!$A131</f>
        <v>III kw.
2016</v>
      </c>
      <c r="U5" s="9" t="str">
        <f>names!$A132</f>
        <v>IV kw.
2016</v>
      </c>
      <c r="V5" s="9" t="str">
        <f>names!$A133</f>
        <v>12 m-cy
2016</v>
      </c>
      <c r="W5" s="9" t="str">
        <f>names!$A134</f>
        <v>I kw.
2017</v>
      </c>
      <c r="X5" s="9" t="str">
        <f>names!$A135</f>
        <v>II kw.
2017</v>
      </c>
      <c r="Y5" s="9" t="str">
        <f>names!$A136</f>
        <v>III kw.
2017</v>
      </c>
      <c r="Z5" s="9" t="str">
        <f>names!$A137</f>
        <v>IV kw.
2017</v>
      </c>
      <c r="AA5" s="9" t="str">
        <f>names!$A138</f>
        <v>12 m-cy
2017</v>
      </c>
      <c r="AB5" s="9" t="str">
        <f>names!$A139</f>
        <v>I kw.
2018</v>
      </c>
      <c r="AC5" s="9" t="str">
        <f>names!$A140</f>
        <v>II kw.
2018</v>
      </c>
      <c r="AD5" s="9" t="str">
        <f>names!$A141</f>
        <v>III kw.
2018</v>
      </c>
      <c r="AE5" s="9" t="str">
        <f>names!$A142</f>
        <v>IV kw.
2018</v>
      </c>
      <c r="AF5" s="9" t="str">
        <f>names!$A143</f>
        <v>12 m-cy
2018</v>
      </c>
      <c r="AG5" s="9" t="str">
        <f>names!$A144</f>
        <v>I kw. 
2019</v>
      </c>
      <c r="AH5" s="9" t="str">
        <f>names!$A145</f>
        <v>II kw. 
2019</v>
      </c>
      <c r="AI5" s="9" t="str">
        <f>names!$A146</f>
        <v>III kw. 
2019</v>
      </c>
      <c r="AJ5" s="9" t="str">
        <f>names!$A147</f>
        <v>IV kw. 
2019</v>
      </c>
      <c r="AK5" s="9" t="str">
        <f>names!$A148</f>
        <v>12 m-cy 2019</v>
      </c>
      <c r="AL5" s="9" t="str">
        <f>names!$A149</f>
        <v>I kw. 
2020</v>
      </c>
      <c r="AM5" s="9" t="str">
        <f>names!$A150</f>
        <v>II kw. 
2020</v>
      </c>
      <c r="AN5" s="9" t="str">
        <f>names!$A151</f>
        <v>III kw. 
2020</v>
      </c>
      <c r="AO5" s="9" t="str">
        <f>names!$A152</f>
        <v>IV kw. 
2020</v>
      </c>
      <c r="AP5" s="9" t="str">
        <f>names!$A153</f>
        <v>12 m-cy 2020</v>
      </c>
      <c r="AQ5" s="9" t="str">
        <f>names!$A154</f>
        <v>I kw. 
2021</v>
      </c>
      <c r="AR5" s="9" t="str">
        <f>names!$A155</f>
        <v>II kw. 
2021</v>
      </c>
      <c r="AS5" s="9" t="str">
        <f>names!$A156</f>
        <v>III kw. 
2021</v>
      </c>
      <c r="AT5" s="9" t="str">
        <f>names!$A157</f>
        <v>IV kw. 
2021</v>
      </c>
      <c r="AU5" s="9" t="str">
        <f>names!$A158</f>
        <v>12 m-cy 2021</v>
      </c>
      <c r="AV5" s="9" t="str">
        <f>names!$A159</f>
        <v>I kw. 
2022</v>
      </c>
      <c r="AW5" s="9" t="str">
        <f>names!$A160</f>
        <v>II kw. 
2022</v>
      </c>
      <c r="AX5" s="9" t="str">
        <f>names!$A161</f>
        <v>III kw. 
2022</v>
      </c>
      <c r="AY5" s="9" t="str">
        <f>names!$A162</f>
        <v>IV kw. 
2022</v>
      </c>
      <c r="AZ5" s="9" t="str">
        <f>names!$A163</f>
        <v>12 m-cy 2022</v>
      </c>
      <c r="BA5" s="9" t="str">
        <f>names!$A164</f>
        <v>I kw. 
2023</v>
      </c>
      <c r="BB5" s="9" t="str">
        <f>names!$A165</f>
        <v>II kw. 
2023</v>
      </c>
      <c r="BC5" s="9" t="str">
        <f>names!$A166</f>
        <v>III kw. 
2023</v>
      </c>
      <c r="BD5" s="9" t="str">
        <f>names!$A167</f>
        <v>IV kw. 
2023</v>
      </c>
      <c r="BE5" s="9" t="str">
        <f>names!$A168</f>
        <v>12 m-cy 2023</v>
      </c>
      <c r="BF5" s="9" t="str">
        <f>names!$A169</f>
        <v>I kw. 
2024</v>
      </c>
      <c r="BG5" s="9" t="str">
        <f>names!$A170</f>
        <v>II kw. 
2024</v>
      </c>
      <c r="BH5" s="9" t="str">
        <f>names!$A171</f>
        <v>III kw. 
2024</v>
      </c>
      <c r="BI5" s="9" t="str">
        <f>names!$A172</f>
        <v>IV kw. 
2024</v>
      </c>
      <c r="BJ5" s="9" t="str">
        <f>names!$A173</f>
        <v>12 m-cy 2024</v>
      </c>
      <c r="BK5" s="9" t="str">
        <f>names!$A174</f>
        <v>I kw. 
2025</v>
      </c>
      <c r="BL5" s="9" t="str">
        <f>names!$A175</f>
        <v>II kw. 
2025</v>
      </c>
      <c r="BM5" s="9" t="str">
        <f>names!$A176</f>
        <v>III kw. 
2025</v>
      </c>
      <c r="BN5" s="9" t="str">
        <f>names!$A177</f>
        <v>IV kw. 
2025</v>
      </c>
      <c r="BO5" s="9" t="str">
        <f>names!$A178</f>
        <v>12 m-cy 2025</v>
      </c>
      <c r="BP5" s="9" t="str">
        <f>C5</f>
        <v>I kw.
2013</v>
      </c>
      <c r="BQ5" s="9" t="str">
        <f>D5</f>
        <v>II kw.
2013</v>
      </c>
      <c r="BR5" s="9" t="str">
        <f>E5</f>
        <v>III kw.
2013</v>
      </c>
      <c r="BS5" s="9" t="str">
        <f>F5</f>
        <v>IV kw.
2013</v>
      </c>
      <c r="BT5" s="9" t="str">
        <f>H5</f>
        <v>I kw.
2014</v>
      </c>
      <c r="BU5" s="9" t="str">
        <f>I5</f>
        <v>II kw.
2014</v>
      </c>
      <c r="BV5" s="9" t="str">
        <f>J5</f>
        <v>III kw.
2014</v>
      </c>
      <c r="BW5" s="9" t="str">
        <f>K5</f>
        <v>IV kw.
2014</v>
      </c>
      <c r="BX5" s="9" t="str">
        <f>M5</f>
        <v>I kw.
2015</v>
      </c>
      <c r="BY5" s="9" t="str">
        <f>N5</f>
        <v>II kw.
2015</v>
      </c>
      <c r="BZ5" s="9" t="str">
        <f>O5</f>
        <v>III kw.
2015</v>
      </c>
      <c r="CA5" s="9" t="str">
        <f>P5</f>
        <v>IV kw.
2015</v>
      </c>
      <c r="CB5" s="9" t="str">
        <f>R5</f>
        <v>I kw.
2016</v>
      </c>
      <c r="CC5" s="9" t="str">
        <f>S5</f>
        <v>II kw.
2016</v>
      </c>
      <c r="CD5" s="9" t="str">
        <f>T5</f>
        <v>III kw.
2016</v>
      </c>
      <c r="CE5" s="9" t="str">
        <f>U5</f>
        <v>IV kw.
2016</v>
      </c>
      <c r="CF5" s="9" t="str">
        <f>W5</f>
        <v>I kw.
2017</v>
      </c>
      <c r="CG5" s="9" t="str">
        <f>X5</f>
        <v>II kw.
2017</v>
      </c>
      <c r="CH5" s="9" t="str">
        <f>Y5</f>
        <v>III kw.
2017</v>
      </c>
      <c r="CI5" s="9" t="str">
        <f>Z5</f>
        <v>IV kw.
2017</v>
      </c>
      <c r="CJ5" s="9" t="str">
        <f>AB5</f>
        <v>I kw.
2018</v>
      </c>
      <c r="CK5" s="9" t="str">
        <f>AC5</f>
        <v>II kw.
2018</v>
      </c>
      <c r="CL5" s="9" t="str">
        <f>AD5</f>
        <v>III kw.
2018</v>
      </c>
      <c r="CM5" s="9" t="str">
        <f>AE5</f>
        <v>IV kw.
2018</v>
      </c>
      <c r="CN5" s="9" t="str">
        <f>AG5</f>
        <v>I kw. 
2019</v>
      </c>
      <c r="CO5" s="9" t="str">
        <f>AH5</f>
        <v>II kw. 
2019</v>
      </c>
      <c r="CP5" s="9" t="str">
        <f>AI5</f>
        <v>III kw. 
2019</v>
      </c>
      <c r="CQ5" s="9" t="str">
        <f>AJ5</f>
        <v>IV kw. 
2019</v>
      </c>
      <c r="CR5" s="9" t="str">
        <f>AL5</f>
        <v>I kw. 
2020</v>
      </c>
      <c r="CS5" s="9" t="str">
        <f>AM5</f>
        <v>II kw. 
2020</v>
      </c>
      <c r="CT5" s="9" t="str">
        <f>AN5</f>
        <v>III kw. 
2020</v>
      </c>
      <c r="CU5" s="9" t="str">
        <f>AO5</f>
        <v>IV kw. 
2020</v>
      </c>
      <c r="CV5" s="9" t="str">
        <f>AQ5</f>
        <v>I kw. 
2021</v>
      </c>
      <c r="CW5" s="9" t="str">
        <f>AR5</f>
        <v>II kw. 
2021</v>
      </c>
      <c r="CX5" s="9" t="str">
        <f>AS5</f>
        <v>III kw. 
2021</v>
      </c>
      <c r="CY5" s="9" t="str">
        <f>AT5</f>
        <v>IV kw. 
2021</v>
      </c>
      <c r="CZ5" s="9" t="str">
        <f>AV5</f>
        <v>I kw. 
2022</v>
      </c>
      <c r="DA5" s="9" t="str">
        <f>AW5</f>
        <v>II kw. 
2022</v>
      </c>
      <c r="DB5" s="9" t="str">
        <f>AX5</f>
        <v>III kw. 
2022</v>
      </c>
      <c r="DC5" s="9" t="str">
        <f>AY5</f>
        <v>IV kw. 
2022</v>
      </c>
      <c r="DD5" s="9" t="str">
        <f>BA5</f>
        <v>I kw. 
2023</v>
      </c>
      <c r="DE5" s="9" t="str">
        <f>BB5</f>
        <v>II kw. 
2023</v>
      </c>
      <c r="DF5" s="9" t="str">
        <f>BC5</f>
        <v>III kw. 
2023</v>
      </c>
      <c r="DG5" s="9" t="str">
        <f>BD5</f>
        <v>IV kw. 
2023</v>
      </c>
      <c r="DH5" s="9" t="str">
        <f>BF5</f>
        <v>I kw. 
2024</v>
      </c>
      <c r="DI5" s="9" t="str">
        <f>BG5</f>
        <v>II kw. 
2024</v>
      </c>
      <c r="DJ5" s="9" t="str">
        <f>BH5</f>
        <v>III kw. 
2024</v>
      </c>
      <c r="DK5" s="9" t="str">
        <f>BI5</f>
        <v>IV kw. 
2024</v>
      </c>
      <c r="DL5" s="9" t="str">
        <f>BK5</f>
        <v>I kw. 
2025</v>
      </c>
      <c r="DM5" s="9" t="str">
        <f>BL5</f>
        <v>II kw. 
2025</v>
      </c>
      <c r="DN5" s="9" t="str">
        <f>BM5</f>
        <v>III kw. 
2025</v>
      </c>
      <c r="DO5" s="9" t="str">
        <f>BN5</f>
        <v>IV kw. 
2025</v>
      </c>
    </row>
    <row r="6" spans="1:119" s="63" customFormat="1" ht="7.15" customHeight="1">
      <c r="A6" s="65"/>
      <c r="B6" s="104"/>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row>
    <row r="7" spans="1:119" ht="12" customHeight="1">
      <c r="B7" s="48" t="str">
        <f>names!A185</f>
        <v>USD/PLN</v>
      </c>
      <c r="C7" s="18">
        <v>3.15</v>
      </c>
      <c r="D7" s="18">
        <v>3.22</v>
      </c>
      <c r="E7" s="18">
        <v>3.21</v>
      </c>
      <c r="F7" s="18">
        <v>3.08</v>
      </c>
      <c r="G7" s="106">
        <v>3.16</v>
      </c>
      <c r="H7" s="18">
        <v>3.06</v>
      </c>
      <c r="I7" s="18">
        <v>3.04</v>
      </c>
      <c r="J7" s="18">
        <v>3.15</v>
      </c>
      <c r="K7" s="18">
        <v>3.37</v>
      </c>
      <c r="L7" s="106">
        <v>3.15</v>
      </c>
      <c r="M7" s="18">
        <v>3.72</v>
      </c>
      <c r="N7" s="18">
        <v>3.7</v>
      </c>
      <c r="O7" s="18">
        <v>3.77</v>
      </c>
      <c r="P7" s="18">
        <v>3.9</v>
      </c>
      <c r="Q7" s="106">
        <v>3.77</v>
      </c>
      <c r="R7" s="18">
        <v>3.96</v>
      </c>
      <c r="S7" s="18">
        <v>3.87</v>
      </c>
      <c r="T7" s="18">
        <v>3.89</v>
      </c>
      <c r="U7" s="18">
        <v>4.0599999999999996</v>
      </c>
      <c r="V7" s="106">
        <v>3.94</v>
      </c>
      <c r="W7" s="18">
        <v>4.0599999999999996</v>
      </c>
      <c r="X7" s="18">
        <v>3.83</v>
      </c>
      <c r="Y7" s="18">
        <v>3.63</v>
      </c>
      <c r="Z7" s="18">
        <v>3.6</v>
      </c>
      <c r="AA7" s="106">
        <v>3.78</v>
      </c>
      <c r="AB7" s="18">
        <v>3.4</v>
      </c>
      <c r="AC7" s="18">
        <v>3.58</v>
      </c>
      <c r="AD7" s="18">
        <v>3.7</v>
      </c>
      <c r="AE7" s="18">
        <v>3.77</v>
      </c>
      <c r="AF7" s="106">
        <v>3.61</v>
      </c>
      <c r="AG7" s="470">
        <v>3.79</v>
      </c>
      <c r="AH7" s="470">
        <v>3.81</v>
      </c>
      <c r="AI7" s="470">
        <v>3.88</v>
      </c>
      <c r="AJ7" s="470">
        <v>3.87</v>
      </c>
      <c r="AK7" s="106">
        <v>3.84</v>
      </c>
      <c r="AL7" s="470">
        <v>3.92</v>
      </c>
      <c r="AM7" s="470">
        <v>4.09</v>
      </c>
      <c r="AN7" s="470">
        <v>3.8</v>
      </c>
      <c r="AO7" s="470">
        <v>3.78</v>
      </c>
      <c r="AP7" s="106">
        <v>3.9</v>
      </c>
      <c r="AQ7" s="470">
        <v>3.78</v>
      </c>
      <c r="AR7" s="470">
        <v>3.76</v>
      </c>
      <c r="AS7" s="470">
        <v>3.87</v>
      </c>
      <c r="AT7" s="470">
        <v>4.04</v>
      </c>
      <c r="AU7" s="511">
        <v>3.86</v>
      </c>
      <c r="AV7" s="18">
        <v>4.13</v>
      </c>
      <c r="AW7" s="18">
        <v>4.3600000000000003</v>
      </c>
      <c r="AX7" s="18">
        <v>4.71</v>
      </c>
      <c r="AY7" s="18">
        <v>4.6399999999999997</v>
      </c>
      <c r="AZ7" s="511">
        <v>4.46</v>
      </c>
      <c r="BA7" s="18">
        <v>4.3899999999999997</v>
      </c>
      <c r="BB7" s="18">
        <v>4.17</v>
      </c>
      <c r="BC7" s="18">
        <v>4.1399999999999997</v>
      </c>
      <c r="BD7" s="18">
        <v>4.1100000000000003</v>
      </c>
      <c r="BE7" s="511">
        <v>4.2</v>
      </c>
      <c r="BF7" s="18">
        <v>3.99</v>
      </c>
      <c r="BG7" s="18">
        <v>4</v>
      </c>
      <c r="BH7" s="18">
        <v>3.9</v>
      </c>
      <c r="BI7" s="18">
        <v>4.0349000000000004</v>
      </c>
      <c r="BJ7" s="106">
        <v>3.9799000000000002</v>
      </c>
      <c r="BK7" s="18">
        <v>3.99</v>
      </c>
      <c r="BL7" s="18"/>
      <c r="BM7" s="18"/>
      <c r="BN7" s="18"/>
      <c r="BO7" s="780"/>
      <c r="BP7" s="18">
        <v>3.26</v>
      </c>
      <c r="BQ7" s="18">
        <v>3.32</v>
      </c>
      <c r="BR7" s="18">
        <v>3.12</v>
      </c>
      <c r="BS7" s="244">
        <v>3.01</v>
      </c>
      <c r="BT7" s="18">
        <v>3.03</v>
      </c>
      <c r="BU7" s="18">
        <v>3.05</v>
      </c>
      <c r="BV7" s="18">
        <v>3.3</v>
      </c>
      <c r="BW7" s="244">
        <v>3.51</v>
      </c>
      <c r="BX7" s="18">
        <v>3.81</v>
      </c>
      <c r="BY7" s="18">
        <v>3.7645</v>
      </c>
      <c r="BZ7" s="18">
        <v>3.78</v>
      </c>
      <c r="CA7" s="244">
        <v>3.9</v>
      </c>
      <c r="CB7" s="18">
        <v>3.76</v>
      </c>
      <c r="CC7" s="18">
        <v>3.98</v>
      </c>
      <c r="CD7" s="18">
        <v>3.86</v>
      </c>
      <c r="CE7" s="244">
        <v>4.18</v>
      </c>
      <c r="CF7" s="18">
        <v>3.95</v>
      </c>
      <c r="CG7" s="18">
        <v>3.71</v>
      </c>
      <c r="CH7" s="18">
        <v>3.65</v>
      </c>
      <c r="CI7" s="244">
        <v>3.48</v>
      </c>
      <c r="CJ7" s="18">
        <v>3.41</v>
      </c>
      <c r="CK7" s="18">
        <v>3.74</v>
      </c>
      <c r="CL7" s="18">
        <v>3.68</v>
      </c>
      <c r="CM7" s="244">
        <v>3.76</v>
      </c>
      <c r="CN7" s="18">
        <v>3.84</v>
      </c>
      <c r="CO7" s="18">
        <v>3.73</v>
      </c>
      <c r="CP7" s="18">
        <v>4</v>
      </c>
      <c r="CQ7" s="244">
        <v>3.8</v>
      </c>
      <c r="CR7" s="18">
        <v>4.1500000000000004</v>
      </c>
      <c r="CS7" s="18">
        <v>3.98</v>
      </c>
      <c r="CT7" s="18">
        <v>3.87</v>
      </c>
      <c r="CU7" s="244">
        <v>3.76</v>
      </c>
      <c r="CV7" s="18">
        <v>3.97</v>
      </c>
      <c r="CW7" s="18">
        <v>3.8</v>
      </c>
      <c r="CX7" s="18">
        <v>3.99</v>
      </c>
      <c r="CY7" s="244">
        <v>4.0599999999999996</v>
      </c>
      <c r="CZ7" s="18">
        <v>4.18</v>
      </c>
      <c r="DA7" s="18">
        <v>4.4800000000000004</v>
      </c>
      <c r="DB7" s="18">
        <v>4.95</v>
      </c>
      <c r="DC7" s="244">
        <v>4.4000000000000004</v>
      </c>
      <c r="DD7" s="18">
        <v>4.29</v>
      </c>
      <c r="DE7" s="18">
        <v>4.1100000000000003</v>
      </c>
      <c r="DF7" s="18">
        <v>4.37</v>
      </c>
      <c r="DG7" s="244">
        <v>3.94</v>
      </c>
      <c r="DH7" s="18">
        <v>3.99</v>
      </c>
      <c r="DI7" s="18">
        <v>4.03</v>
      </c>
      <c r="DJ7" s="18">
        <v>3.82</v>
      </c>
      <c r="DK7" s="244">
        <v>4.0999999999999996</v>
      </c>
      <c r="DL7" s="18">
        <v>3.86</v>
      </c>
      <c r="DM7" s="18"/>
      <c r="DN7" s="18"/>
      <c r="DO7" s="244"/>
    </row>
    <row r="8" spans="1:119" ht="12" customHeight="1">
      <c r="B8" s="48" t="str">
        <f>names!A186</f>
        <v>EUR/PLN</v>
      </c>
      <c r="C8" s="18">
        <v>4.16</v>
      </c>
      <c r="D8" s="18">
        <v>4.2</v>
      </c>
      <c r="E8" s="18">
        <v>4.25</v>
      </c>
      <c r="F8" s="18">
        <v>4.1900000000000004</v>
      </c>
      <c r="G8" s="106">
        <v>4.2</v>
      </c>
      <c r="H8" s="18">
        <v>4.1900000000000004</v>
      </c>
      <c r="I8" s="18">
        <v>4.17</v>
      </c>
      <c r="J8" s="18">
        <v>4.18</v>
      </c>
      <c r="K8" s="18">
        <v>4.21</v>
      </c>
      <c r="L8" s="106">
        <v>4.1900000000000004</v>
      </c>
      <c r="M8" s="18">
        <v>4.2</v>
      </c>
      <c r="N8" s="18">
        <v>4.09</v>
      </c>
      <c r="O8" s="18">
        <v>4.1900000000000004</v>
      </c>
      <c r="P8" s="18">
        <v>4.26</v>
      </c>
      <c r="Q8" s="106">
        <v>4.18</v>
      </c>
      <c r="R8" s="18">
        <v>4.37</v>
      </c>
      <c r="S8" s="18">
        <v>4.37</v>
      </c>
      <c r="T8" s="18">
        <v>4.34</v>
      </c>
      <c r="U8" s="18">
        <v>4.38</v>
      </c>
      <c r="V8" s="106">
        <v>4.3600000000000003</v>
      </c>
      <c r="W8" s="18">
        <v>4.32</v>
      </c>
      <c r="X8" s="18">
        <v>4.22</v>
      </c>
      <c r="Y8" s="18">
        <v>4.26</v>
      </c>
      <c r="Z8" s="18">
        <v>4.2300000000000004</v>
      </c>
      <c r="AA8" s="106">
        <v>4.26</v>
      </c>
      <c r="AB8" s="18">
        <v>4.18</v>
      </c>
      <c r="AC8" s="18">
        <v>4.26</v>
      </c>
      <c r="AD8" s="18">
        <v>4.3099999999999996</v>
      </c>
      <c r="AE8" s="18">
        <v>4.3</v>
      </c>
      <c r="AF8" s="106">
        <v>4.26</v>
      </c>
      <c r="AG8" s="18">
        <v>4.3</v>
      </c>
      <c r="AH8" s="18">
        <v>4.28</v>
      </c>
      <c r="AI8" s="18">
        <v>4.32</v>
      </c>
      <c r="AJ8" s="18">
        <v>4.29</v>
      </c>
      <c r="AK8" s="106">
        <v>4.3</v>
      </c>
      <c r="AL8" s="18">
        <v>4.33</v>
      </c>
      <c r="AM8" s="18">
        <v>4.5</v>
      </c>
      <c r="AN8" s="18">
        <v>4.4400000000000004</v>
      </c>
      <c r="AO8" s="18">
        <v>4.51</v>
      </c>
      <c r="AP8" s="106">
        <v>4.4400000000000004</v>
      </c>
      <c r="AQ8" s="18">
        <v>4.55</v>
      </c>
      <c r="AR8" s="18">
        <v>4.53</v>
      </c>
      <c r="AS8" s="18">
        <v>4.57</v>
      </c>
      <c r="AT8" s="18">
        <v>4.62</v>
      </c>
      <c r="AU8" s="106">
        <v>4.57</v>
      </c>
      <c r="AV8" s="18">
        <v>4.63</v>
      </c>
      <c r="AW8" s="18">
        <v>4.6500000000000004</v>
      </c>
      <c r="AX8" s="18">
        <v>4.75</v>
      </c>
      <c r="AY8" s="18">
        <v>4.7300000000000004</v>
      </c>
      <c r="AZ8" s="106">
        <v>4.6900000000000004</v>
      </c>
      <c r="BA8" s="18">
        <v>4.71</v>
      </c>
      <c r="BB8" s="18">
        <v>4.54</v>
      </c>
      <c r="BC8" s="18">
        <v>4.5</v>
      </c>
      <c r="BD8" s="18">
        <v>4.42</v>
      </c>
      <c r="BE8" s="106">
        <v>4.54</v>
      </c>
      <c r="BF8" s="18">
        <v>4.33</v>
      </c>
      <c r="BG8" s="18">
        <v>4.3</v>
      </c>
      <c r="BH8" s="18">
        <v>4.28</v>
      </c>
      <c r="BI8" s="18">
        <v>4.3099999999999996</v>
      </c>
      <c r="BJ8" s="106">
        <v>4.3064999999999998</v>
      </c>
      <c r="BK8" s="18">
        <v>4.2</v>
      </c>
      <c r="BL8" s="18"/>
      <c r="BM8" s="18"/>
      <c r="BN8" s="18"/>
      <c r="BO8" s="781"/>
      <c r="BP8" s="18">
        <v>4.18</v>
      </c>
      <c r="BQ8" s="18">
        <v>4.33</v>
      </c>
      <c r="BR8" s="18">
        <v>4.22</v>
      </c>
      <c r="BS8" s="244">
        <v>4.1500000000000004</v>
      </c>
      <c r="BT8" s="18">
        <v>4.17</v>
      </c>
      <c r="BU8" s="18">
        <v>4.16</v>
      </c>
      <c r="BV8" s="18">
        <v>4.18</v>
      </c>
      <c r="BW8" s="244">
        <v>4.26</v>
      </c>
      <c r="BX8" s="18">
        <v>4.09</v>
      </c>
      <c r="BY8" s="18">
        <v>4.1900000000000004</v>
      </c>
      <c r="BZ8" s="18">
        <v>4.24</v>
      </c>
      <c r="CA8" s="244">
        <v>4.26</v>
      </c>
      <c r="CB8" s="18">
        <v>4.2699999999999996</v>
      </c>
      <c r="CC8" s="18">
        <v>4.43</v>
      </c>
      <c r="CD8" s="18">
        <v>4.3099999999999996</v>
      </c>
      <c r="CE8" s="244">
        <v>4.42</v>
      </c>
      <c r="CF8" s="18">
        <v>4.22</v>
      </c>
      <c r="CG8" s="18">
        <v>4.2300000000000004</v>
      </c>
      <c r="CH8" s="18">
        <v>4.3099999999999996</v>
      </c>
      <c r="CI8" s="244">
        <v>4.17</v>
      </c>
      <c r="CJ8" s="18">
        <v>4.21</v>
      </c>
      <c r="CK8" s="18">
        <v>4.3600000000000003</v>
      </c>
      <c r="CL8" s="18">
        <v>4.2699999999999996</v>
      </c>
      <c r="CM8" s="244">
        <v>4.3</v>
      </c>
      <c r="CN8" s="18">
        <v>4.3</v>
      </c>
      <c r="CO8" s="18">
        <v>4.25</v>
      </c>
      <c r="CP8" s="18">
        <v>4.37</v>
      </c>
      <c r="CQ8" s="244">
        <v>4.26</v>
      </c>
      <c r="CR8" s="18">
        <v>4.55</v>
      </c>
      <c r="CS8" s="18">
        <v>4.47</v>
      </c>
      <c r="CT8" s="18">
        <v>4.53</v>
      </c>
      <c r="CU8" s="244">
        <v>4.6100000000000003</v>
      </c>
      <c r="CV8" s="18">
        <v>4.66</v>
      </c>
      <c r="CW8" s="18">
        <v>4.5199999999999996</v>
      </c>
      <c r="CX8" s="18">
        <v>4.63</v>
      </c>
      <c r="CY8" s="244">
        <v>4.5999999999999996</v>
      </c>
      <c r="CZ8" s="18">
        <v>4.6500000000000004</v>
      </c>
      <c r="DA8" s="18">
        <v>4.68</v>
      </c>
      <c r="DB8" s="18">
        <v>4.87</v>
      </c>
      <c r="DC8" s="244">
        <v>4.6900000000000004</v>
      </c>
      <c r="DD8" s="18">
        <v>4.68</v>
      </c>
      <c r="DE8" s="18">
        <v>4.45</v>
      </c>
      <c r="DF8" s="18">
        <v>4.6399999999999997</v>
      </c>
      <c r="DG8" s="244">
        <v>4.3499999999999996</v>
      </c>
      <c r="DH8" s="18">
        <v>4.3</v>
      </c>
      <c r="DI8" s="18">
        <v>4.3099999999999996</v>
      </c>
      <c r="DJ8" s="18">
        <v>4.28</v>
      </c>
      <c r="DK8" s="244">
        <v>4.2699999999999996</v>
      </c>
      <c r="DL8" s="18">
        <v>4.18</v>
      </c>
      <c r="DM8" s="18"/>
      <c r="DN8" s="18"/>
      <c r="DO8" s="244"/>
    </row>
    <row r="9" spans="1:119" ht="12" customHeight="1">
      <c r="B9" s="179" t="str">
        <f>names!A187</f>
        <v>CZK/PLN</v>
      </c>
      <c r="C9" s="180">
        <v>0.16</v>
      </c>
      <c r="D9" s="180">
        <v>0.16</v>
      </c>
      <c r="E9" s="180">
        <v>0.16</v>
      </c>
      <c r="F9" s="180">
        <v>0.16</v>
      </c>
      <c r="G9" s="106">
        <v>0.16</v>
      </c>
      <c r="H9" s="180">
        <v>0.15</v>
      </c>
      <c r="I9" s="18">
        <v>0.15</v>
      </c>
      <c r="J9" s="18">
        <v>0.15</v>
      </c>
      <c r="K9" s="18">
        <v>0.15</v>
      </c>
      <c r="L9" s="106">
        <v>0.15</v>
      </c>
      <c r="M9" s="18">
        <v>0.15</v>
      </c>
      <c r="N9" s="18">
        <v>0.15</v>
      </c>
      <c r="O9" s="18">
        <v>0.15</v>
      </c>
      <c r="P9" s="18">
        <v>0.16</v>
      </c>
      <c r="Q9" s="106">
        <v>0.15</v>
      </c>
      <c r="R9" s="18">
        <v>0.16</v>
      </c>
      <c r="S9" s="18">
        <v>0.16</v>
      </c>
      <c r="T9" s="18">
        <v>0.16</v>
      </c>
      <c r="U9" s="18">
        <v>0.16</v>
      </c>
      <c r="V9" s="106">
        <v>0.16</v>
      </c>
      <c r="W9" s="18">
        <v>0.16</v>
      </c>
      <c r="X9" s="18">
        <v>0.16</v>
      </c>
      <c r="Y9" s="18">
        <v>0.16</v>
      </c>
      <c r="Z9" s="18">
        <v>0.17</v>
      </c>
      <c r="AA9" s="106">
        <v>0.16</v>
      </c>
      <c r="AB9" s="18">
        <v>0.16</v>
      </c>
      <c r="AC9" s="18">
        <v>0.17</v>
      </c>
      <c r="AD9" s="18">
        <v>0.17</v>
      </c>
      <c r="AE9" s="18">
        <v>0.17</v>
      </c>
      <c r="AF9" s="106">
        <v>0.17</v>
      </c>
      <c r="AG9" s="18">
        <v>0.17</v>
      </c>
      <c r="AH9" s="18">
        <v>0.17</v>
      </c>
      <c r="AI9" s="18">
        <v>0.17</v>
      </c>
      <c r="AJ9" s="18">
        <v>0.17</v>
      </c>
      <c r="AK9" s="106">
        <v>0.17</v>
      </c>
      <c r="AL9" s="18">
        <v>0.17</v>
      </c>
      <c r="AM9" s="18">
        <v>0.17</v>
      </c>
      <c r="AN9" s="18">
        <v>0.17</v>
      </c>
      <c r="AO9" s="18">
        <v>0.17</v>
      </c>
      <c r="AP9" s="106">
        <v>0.17</v>
      </c>
      <c r="AQ9" s="18">
        <v>0.17</v>
      </c>
      <c r="AR9" s="18">
        <v>0.18</v>
      </c>
      <c r="AS9" s="18">
        <v>0.18</v>
      </c>
      <c r="AT9" s="18">
        <v>0.19</v>
      </c>
      <c r="AU9" s="106">
        <v>0.19</v>
      </c>
      <c r="AV9" s="18">
        <v>0.19</v>
      </c>
      <c r="AW9" s="18">
        <v>0.19</v>
      </c>
      <c r="AX9" s="18">
        <v>0.19</v>
      </c>
      <c r="AY9" s="18">
        <v>0.19</v>
      </c>
      <c r="AZ9" s="106">
        <v>0.19</v>
      </c>
      <c r="BA9" s="18">
        <v>0.2</v>
      </c>
      <c r="BB9" s="18">
        <v>0.19</v>
      </c>
      <c r="BC9" s="18">
        <v>0.19</v>
      </c>
      <c r="BD9" s="18">
        <v>0.18</v>
      </c>
      <c r="BE9" s="106">
        <v>0.19</v>
      </c>
      <c r="BF9" s="18">
        <v>0.17</v>
      </c>
      <c r="BG9" s="18">
        <v>0.17</v>
      </c>
      <c r="BH9" s="18">
        <v>0.17</v>
      </c>
      <c r="BI9" s="18">
        <v>0.1706</v>
      </c>
      <c r="BJ9" s="106">
        <v>0.17150000000000001</v>
      </c>
      <c r="BK9" s="18">
        <v>0.17</v>
      </c>
      <c r="BL9" s="18"/>
      <c r="BM9" s="18"/>
      <c r="BN9" s="18"/>
      <c r="BO9" s="781"/>
      <c r="BP9" s="180">
        <v>0.16</v>
      </c>
      <c r="BQ9" s="180">
        <v>0.17</v>
      </c>
      <c r="BR9" s="180">
        <v>0.16</v>
      </c>
      <c r="BS9" s="244">
        <v>0.15</v>
      </c>
      <c r="BT9" s="180">
        <v>0.15</v>
      </c>
      <c r="BU9" s="18">
        <v>0.15</v>
      </c>
      <c r="BV9" s="18">
        <v>0.15</v>
      </c>
      <c r="BW9" s="244">
        <v>0.15</v>
      </c>
      <c r="BX9" s="18">
        <v>0.15</v>
      </c>
      <c r="BY9" s="18">
        <v>0.15</v>
      </c>
      <c r="BZ9" s="180">
        <v>0.16</v>
      </c>
      <c r="CA9" s="244">
        <v>0.16</v>
      </c>
      <c r="CB9" s="18">
        <v>0.16</v>
      </c>
      <c r="CC9" s="18">
        <v>0.16</v>
      </c>
      <c r="CD9" s="180">
        <v>0.16</v>
      </c>
      <c r="CE9" s="244">
        <v>0.16</v>
      </c>
      <c r="CF9" s="18">
        <v>0.16</v>
      </c>
      <c r="CG9" s="18">
        <v>0.16</v>
      </c>
      <c r="CH9" s="180">
        <v>0.17</v>
      </c>
      <c r="CI9" s="244">
        <v>0.16</v>
      </c>
      <c r="CJ9" s="18">
        <v>0.17</v>
      </c>
      <c r="CK9" s="18">
        <v>0.17</v>
      </c>
      <c r="CL9" s="180">
        <v>0.17</v>
      </c>
      <c r="CM9" s="244">
        <v>0.17</v>
      </c>
      <c r="CN9" s="180">
        <v>0.17</v>
      </c>
      <c r="CO9" s="180">
        <v>0.17</v>
      </c>
      <c r="CP9" s="180">
        <v>0.17</v>
      </c>
      <c r="CQ9" s="244">
        <v>0.17</v>
      </c>
      <c r="CR9" s="180">
        <v>0.17</v>
      </c>
      <c r="CS9" s="180">
        <v>0.17</v>
      </c>
      <c r="CT9" s="180">
        <v>0.17</v>
      </c>
      <c r="CU9" s="244">
        <v>0.18</v>
      </c>
      <c r="CV9" s="180">
        <v>0.18</v>
      </c>
      <c r="CW9" s="180">
        <v>0.18</v>
      </c>
      <c r="CX9" s="180">
        <v>0.18</v>
      </c>
      <c r="CY9" s="244">
        <v>0.19</v>
      </c>
      <c r="CZ9" s="180">
        <v>0.19</v>
      </c>
      <c r="DA9" s="180">
        <v>0.19</v>
      </c>
      <c r="DB9" s="180">
        <v>0.2</v>
      </c>
      <c r="DC9" s="244">
        <v>0.19</v>
      </c>
      <c r="DD9" s="180">
        <v>0.2</v>
      </c>
      <c r="DE9" s="180">
        <v>0.19</v>
      </c>
      <c r="DF9" s="180">
        <v>0.19</v>
      </c>
      <c r="DG9" s="244">
        <v>0.18</v>
      </c>
      <c r="DH9" s="180">
        <v>0.17</v>
      </c>
      <c r="DI9" s="180">
        <v>0.17</v>
      </c>
      <c r="DJ9" s="180">
        <v>0.17</v>
      </c>
      <c r="DK9" s="244">
        <v>0.17</v>
      </c>
      <c r="DL9" s="180">
        <v>0.17</v>
      </c>
      <c r="DM9" s="180"/>
      <c r="DN9" s="180"/>
      <c r="DO9" s="244"/>
    </row>
    <row r="10" spans="1:119" ht="12" customHeight="1" thickBot="1">
      <c r="B10" s="40" t="str">
        <f>names!A188</f>
        <v>CAD/PLN</v>
      </c>
      <c r="C10" s="12">
        <v>3.12</v>
      </c>
      <c r="D10" s="12">
        <v>3.14</v>
      </c>
      <c r="E10" s="12">
        <v>3.09</v>
      </c>
      <c r="F10" s="12">
        <v>2.93</v>
      </c>
      <c r="G10" s="250">
        <v>3.07</v>
      </c>
      <c r="H10" s="12">
        <v>2.77</v>
      </c>
      <c r="I10" s="39">
        <v>2.79</v>
      </c>
      <c r="J10" s="12">
        <v>2.89</v>
      </c>
      <c r="K10" s="12">
        <v>2.97</v>
      </c>
      <c r="L10" s="250">
        <v>2.85</v>
      </c>
      <c r="M10" s="12">
        <v>3</v>
      </c>
      <c r="N10" s="12">
        <v>3.01</v>
      </c>
      <c r="O10" s="12">
        <v>2.88</v>
      </c>
      <c r="P10" s="12">
        <v>2.92</v>
      </c>
      <c r="Q10" s="250">
        <v>2.95</v>
      </c>
      <c r="R10" s="12">
        <v>2.88</v>
      </c>
      <c r="S10" s="12">
        <v>3</v>
      </c>
      <c r="T10" s="12">
        <v>2.98</v>
      </c>
      <c r="U10" s="12">
        <v>3.04</v>
      </c>
      <c r="V10" s="250">
        <v>2.98</v>
      </c>
      <c r="W10" s="12">
        <v>3.07</v>
      </c>
      <c r="X10" s="12">
        <v>2.85</v>
      </c>
      <c r="Y10" s="12">
        <v>2.89</v>
      </c>
      <c r="Z10" s="12">
        <v>2.83</v>
      </c>
      <c r="AA10" s="250">
        <v>2.91</v>
      </c>
      <c r="AB10" s="12">
        <v>2.69</v>
      </c>
      <c r="AC10" s="12">
        <v>2.77</v>
      </c>
      <c r="AD10" s="12">
        <v>2.83</v>
      </c>
      <c r="AE10" s="12">
        <v>2.86</v>
      </c>
      <c r="AF10" s="250">
        <v>2.79</v>
      </c>
      <c r="AG10" s="12">
        <v>2.85</v>
      </c>
      <c r="AH10" s="12">
        <v>2.85</v>
      </c>
      <c r="AI10" s="12">
        <v>2.94</v>
      </c>
      <c r="AJ10" s="12">
        <v>2.93</v>
      </c>
      <c r="AK10" s="250">
        <v>2.89</v>
      </c>
      <c r="AL10" s="12">
        <v>2.92</v>
      </c>
      <c r="AM10" s="12">
        <v>2.95</v>
      </c>
      <c r="AN10" s="12">
        <v>2.85</v>
      </c>
      <c r="AO10" s="12">
        <v>2.9</v>
      </c>
      <c r="AP10" s="250">
        <v>2.91</v>
      </c>
      <c r="AQ10" s="12">
        <v>2.98</v>
      </c>
      <c r="AR10" s="12">
        <v>3.06</v>
      </c>
      <c r="AS10" s="12">
        <v>3.08</v>
      </c>
      <c r="AT10" s="12">
        <v>3.19</v>
      </c>
      <c r="AU10" s="250">
        <v>3.19</v>
      </c>
      <c r="AV10" s="12">
        <v>3.26</v>
      </c>
      <c r="AW10" s="12">
        <v>3.41</v>
      </c>
      <c r="AX10" s="12">
        <v>3.61</v>
      </c>
      <c r="AY10" s="12">
        <v>3.42</v>
      </c>
      <c r="AZ10" s="250">
        <v>3.43</v>
      </c>
      <c r="BA10" s="12">
        <v>3.25</v>
      </c>
      <c r="BB10" s="12">
        <v>3.11</v>
      </c>
      <c r="BC10" s="12">
        <v>3.08</v>
      </c>
      <c r="BD10" s="12">
        <v>3.02</v>
      </c>
      <c r="BE10" s="250">
        <v>3.11</v>
      </c>
      <c r="BF10" s="12">
        <v>2.96</v>
      </c>
      <c r="BG10" s="12">
        <v>2.92</v>
      </c>
      <c r="BH10" s="12">
        <v>2.86</v>
      </c>
      <c r="BI10" s="12">
        <v>2.8874</v>
      </c>
      <c r="BJ10" s="250">
        <v>2.9070999999999998</v>
      </c>
      <c r="BK10" s="12">
        <v>2.78</v>
      </c>
      <c r="BL10" s="12"/>
      <c r="BM10" s="12"/>
      <c r="BN10" s="12"/>
      <c r="BO10" s="782"/>
      <c r="BP10" s="12">
        <v>3.2</v>
      </c>
      <c r="BQ10" s="12">
        <v>3.17</v>
      </c>
      <c r="BR10" s="12">
        <v>3.03</v>
      </c>
      <c r="BS10" s="245">
        <v>2.83</v>
      </c>
      <c r="BT10" s="12">
        <v>2.74</v>
      </c>
      <c r="BU10" s="12">
        <v>2.85</v>
      </c>
      <c r="BV10" s="12">
        <v>2.95</v>
      </c>
      <c r="BW10" s="245">
        <v>3.03</v>
      </c>
      <c r="BX10" s="12">
        <v>2.99</v>
      </c>
      <c r="BY10" s="12">
        <v>3.04</v>
      </c>
      <c r="BZ10" s="12">
        <v>2.82</v>
      </c>
      <c r="CA10" s="245">
        <v>2.81</v>
      </c>
      <c r="CB10" s="12">
        <v>2.9</v>
      </c>
      <c r="CC10" s="12">
        <v>3.07</v>
      </c>
      <c r="CD10" s="12">
        <v>2.93</v>
      </c>
      <c r="CE10" s="245">
        <v>3.1</v>
      </c>
      <c r="CF10" s="12">
        <v>2.96</v>
      </c>
      <c r="CG10" s="12">
        <v>2.85</v>
      </c>
      <c r="CH10" s="12">
        <v>2.94</v>
      </c>
      <c r="CI10" s="245">
        <v>2.78</v>
      </c>
      <c r="CJ10" s="12">
        <v>2.65</v>
      </c>
      <c r="CK10" s="12">
        <v>2.83</v>
      </c>
      <c r="CL10" s="12">
        <v>2.83</v>
      </c>
      <c r="CM10" s="245">
        <v>2.76</v>
      </c>
      <c r="CN10" s="12">
        <v>2.86</v>
      </c>
      <c r="CO10" s="12">
        <v>2.85</v>
      </c>
      <c r="CP10" s="12">
        <v>3.02</v>
      </c>
      <c r="CQ10" s="245">
        <v>2.91</v>
      </c>
      <c r="CR10" s="12">
        <v>2.92</v>
      </c>
      <c r="CS10" s="12">
        <v>2.91</v>
      </c>
      <c r="CT10" s="12">
        <v>2.88</v>
      </c>
      <c r="CU10" s="245">
        <v>2.95</v>
      </c>
      <c r="CV10" s="12">
        <v>3.15</v>
      </c>
      <c r="CW10" s="12">
        <v>3.06</v>
      </c>
      <c r="CX10" s="12">
        <v>3.14</v>
      </c>
      <c r="CY10" s="245">
        <v>3.19</v>
      </c>
      <c r="CZ10" s="12">
        <v>3.34</v>
      </c>
      <c r="DA10" s="12">
        <v>3.47</v>
      </c>
      <c r="DB10" s="12">
        <v>3.62</v>
      </c>
      <c r="DC10" s="245">
        <v>3.25</v>
      </c>
      <c r="DD10" s="12">
        <v>3.17</v>
      </c>
      <c r="DE10" s="12">
        <v>3.1</v>
      </c>
      <c r="DF10" s="12">
        <v>3.25</v>
      </c>
      <c r="DG10" s="245">
        <v>2.97</v>
      </c>
      <c r="DH10" s="12">
        <v>2.94</v>
      </c>
      <c r="DI10" s="12">
        <v>2.94</v>
      </c>
      <c r="DJ10" s="12">
        <v>2.83</v>
      </c>
      <c r="DK10" s="245">
        <v>2.85</v>
      </c>
      <c r="DL10" s="12">
        <v>2.69</v>
      </c>
      <c r="DM10" s="12"/>
      <c r="DN10" s="12"/>
      <c r="DO10" s="245"/>
    </row>
    <row r="11" spans="1:119" ht="12" customHeight="1">
      <c r="B11" s="48" t="str">
        <f>names!A189</f>
        <v>CAD/USD</v>
      </c>
      <c r="C11" s="178">
        <f t="shared" ref="C11:I11" si="0">ROUND(C10/C7,2)</f>
        <v>0.99</v>
      </c>
      <c r="D11" s="178">
        <f t="shared" si="0"/>
        <v>0.98</v>
      </c>
      <c r="E11" s="178">
        <f t="shared" si="0"/>
        <v>0.96</v>
      </c>
      <c r="F11" s="178">
        <f t="shared" si="0"/>
        <v>0.95</v>
      </c>
      <c r="G11" s="184">
        <f t="shared" si="0"/>
        <v>0.97</v>
      </c>
      <c r="H11" s="178">
        <f t="shared" si="0"/>
        <v>0.91</v>
      </c>
      <c r="I11" s="178">
        <f t="shared" si="0"/>
        <v>0.92</v>
      </c>
      <c r="J11" s="178">
        <v>0.92</v>
      </c>
      <c r="K11" s="178">
        <v>0.88</v>
      </c>
      <c r="L11" s="184">
        <f>ROUND(L10/L7,2)</f>
        <v>0.9</v>
      </c>
      <c r="M11" s="178">
        <v>0.81</v>
      </c>
      <c r="N11" s="178">
        <v>0.81</v>
      </c>
      <c r="O11" s="178">
        <v>0.76</v>
      </c>
      <c r="P11" s="178">
        <f t="shared" ref="P11:BG11" si="1">ROUND(P10/P7,2)</f>
        <v>0.75</v>
      </c>
      <c r="Q11" s="184">
        <f t="shared" si="1"/>
        <v>0.78</v>
      </c>
      <c r="R11" s="178">
        <f t="shared" si="1"/>
        <v>0.73</v>
      </c>
      <c r="S11" s="178">
        <f t="shared" si="1"/>
        <v>0.78</v>
      </c>
      <c r="T11" s="178">
        <f t="shared" si="1"/>
        <v>0.77</v>
      </c>
      <c r="U11" s="178">
        <f t="shared" si="1"/>
        <v>0.75</v>
      </c>
      <c r="V11" s="184">
        <f t="shared" si="1"/>
        <v>0.76</v>
      </c>
      <c r="W11" s="178">
        <f t="shared" si="1"/>
        <v>0.76</v>
      </c>
      <c r="X11" s="178">
        <f t="shared" si="1"/>
        <v>0.74</v>
      </c>
      <c r="Y11" s="178">
        <f t="shared" si="1"/>
        <v>0.8</v>
      </c>
      <c r="Z11" s="178">
        <f t="shared" si="1"/>
        <v>0.79</v>
      </c>
      <c r="AA11" s="184">
        <f t="shared" si="1"/>
        <v>0.77</v>
      </c>
      <c r="AB11" s="178">
        <f t="shared" si="1"/>
        <v>0.79</v>
      </c>
      <c r="AC11" s="178">
        <f t="shared" si="1"/>
        <v>0.77</v>
      </c>
      <c r="AD11" s="178">
        <f t="shared" si="1"/>
        <v>0.76</v>
      </c>
      <c r="AE11" s="178">
        <f t="shared" si="1"/>
        <v>0.76</v>
      </c>
      <c r="AF11" s="184">
        <f t="shared" si="1"/>
        <v>0.77</v>
      </c>
      <c r="AG11" s="178">
        <f t="shared" si="1"/>
        <v>0.75</v>
      </c>
      <c r="AH11" s="178">
        <f t="shared" si="1"/>
        <v>0.75</v>
      </c>
      <c r="AI11" s="178">
        <f t="shared" si="1"/>
        <v>0.76</v>
      </c>
      <c r="AJ11" s="178">
        <f t="shared" si="1"/>
        <v>0.76</v>
      </c>
      <c r="AK11" s="184">
        <f t="shared" si="1"/>
        <v>0.75</v>
      </c>
      <c r="AL11" s="178">
        <f t="shared" si="1"/>
        <v>0.74</v>
      </c>
      <c r="AM11" s="178">
        <f t="shared" si="1"/>
        <v>0.72</v>
      </c>
      <c r="AN11" s="178">
        <f t="shared" si="1"/>
        <v>0.75</v>
      </c>
      <c r="AO11" s="178">
        <f t="shared" si="1"/>
        <v>0.77</v>
      </c>
      <c r="AP11" s="184">
        <f t="shared" si="1"/>
        <v>0.75</v>
      </c>
      <c r="AQ11" s="178">
        <f t="shared" si="1"/>
        <v>0.79</v>
      </c>
      <c r="AR11" s="178">
        <f t="shared" si="1"/>
        <v>0.81</v>
      </c>
      <c r="AS11" s="178">
        <f t="shared" si="1"/>
        <v>0.8</v>
      </c>
      <c r="AT11" s="178">
        <f t="shared" si="1"/>
        <v>0.79</v>
      </c>
      <c r="AU11" s="184">
        <f t="shared" si="1"/>
        <v>0.83</v>
      </c>
      <c r="AV11" s="178">
        <f t="shared" si="1"/>
        <v>0.79</v>
      </c>
      <c r="AW11" s="178">
        <f t="shared" si="1"/>
        <v>0.78</v>
      </c>
      <c r="AX11" s="178">
        <f t="shared" si="1"/>
        <v>0.77</v>
      </c>
      <c r="AY11" s="178">
        <f t="shared" si="1"/>
        <v>0.74</v>
      </c>
      <c r="AZ11" s="184">
        <f t="shared" si="1"/>
        <v>0.77</v>
      </c>
      <c r="BA11" s="178">
        <f t="shared" si="1"/>
        <v>0.74</v>
      </c>
      <c r="BB11" s="178">
        <f t="shared" si="1"/>
        <v>0.75</v>
      </c>
      <c r="BC11" s="178">
        <f t="shared" si="1"/>
        <v>0.74</v>
      </c>
      <c r="BD11" s="178">
        <f t="shared" si="1"/>
        <v>0.73</v>
      </c>
      <c r="BE11" s="184">
        <f t="shared" si="1"/>
        <v>0.74</v>
      </c>
      <c r="BF11" s="178">
        <f t="shared" si="1"/>
        <v>0.74</v>
      </c>
      <c r="BG11" s="178">
        <f t="shared" si="1"/>
        <v>0.73</v>
      </c>
      <c r="BH11" s="178">
        <f>ROUND(BH10/BH7,2)</f>
        <v>0.73</v>
      </c>
      <c r="BI11" s="178">
        <f>ROUND(BI10/BI7,2)</f>
        <v>0.72</v>
      </c>
      <c r="BJ11" s="184">
        <f>ROUND(BJ10/BJ7,2)</f>
        <v>0.73</v>
      </c>
      <c r="BK11" s="178">
        <f>ROUND(BK10/BK7,2)</f>
        <v>0.7</v>
      </c>
      <c r="BL11" s="178"/>
      <c r="BM11" s="178"/>
      <c r="BN11" s="178"/>
      <c r="BO11" s="783"/>
      <c r="BP11" s="178">
        <f t="shared" ref="BP11:BU11" si="2">ROUND(BP10/BP7,2)</f>
        <v>0.98</v>
      </c>
      <c r="BQ11" s="178">
        <f t="shared" si="2"/>
        <v>0.95</v>
      </c>
      <c r="BR11" s="178">
        <f t="shared" si="2"/>
        <v>0.97</v>
      </c>
      <c r="BS11" s="246">
        <f t="shared" si="2"/>
        <v>0.94</v>
      </c>
      <c r="BT11" s="178">
        <f t="shared" si="2"/>
        <v>0.9</v>
      </c>
      <c r="BU11" s="178">
        <f t="shared" si="2"/>
        <v>0.93</v>
      </c>
      <c r="BV11" s="178">
        <v>0.89</v>
      </c>
      <c r="BW11" s="246">
        <v>0.86</v>
      </c>
      <c r="BX11" s="178">
        <v>0.78</v>
      </c>
      <c r="BY11" s="178">
        <f>ROUND(BY10/BY7,2)</f>
        <v>0.81</v>
      </c>
      <c r="BZ11" s="178">
        <v>0.75</v>
      </c>
      <c r="CA11" s="246">
        <f t="shared" ref="CA11:DI11" si="3">ROUND(CA10/CA7,2)</f>
        <v>0.72</v>
      </c>
      <c r="CB11" s="178">
        <f t="shared" si="3"/>
        <v>0.77</v>
      </c>
      <c r="CC11" s="178">
        <f t="shared" si="3"/>
        <v>0.77</v>
      </c>
      <c r="CD11" s="178">
        <f t="shared" si="3"/>
        <v>0.76</v>
      </c>
      <c r="CE11" s="246">
        <f t="shared" si="3"/>
        <v>0.74</v>
      </c>
      <c r="CF11" s="178">
        <f t="shared" si="3"/>
        <v>0.75</v>
      </c>
      <c r="CG11" s="178">
        <f t="shared" si="3"/>
        <v>0.77</v>
      </c>
      <c r="CH11" s="178">
        <f t="shared" si="3"/>
        <v>0.81</v>
      </c>
      <c r="CI11" s="246">
        <f t="shared" si="3"/>
        <v>0.8</v>
      </c>
      <c r="CJ11" s="178">
        <f t="shared" si="3"/>
        <v>0.78</v>
      </c>
      <c r="CK11" s="178">
        <f t="shared" si="3"/>
        <v>0.76</v>
      </c>
      <c r="CL11" s="178">
        <f t="shared" si="3"/>
        <v>0.77</v>
      </c>
      <c r="CM11" s="246">
        <f t="shared" si="3"/>
        <v>0.73</v>
      </c>
      <c r="CN11" s="178">
        <f t="shared" si="3"/>
        <v>0.74</v>
      </c>
      <c r="CO11" s="178">
        <f t="shared" si="3"/>
        <v>0.76</v>
      </c>
      <c r="CP11" s="178">
        <f t="shared" si="3"/>
        <v>0.76</v>
      </c>
      <c r="CQ11" s="246">
        <f t="shared" si="3"/>
        <v>0.77</v>
      </c>
      <c r="CR11" s="178">
        <f t="shared" si="3"/>
        <v>0.7</v>
      </c>
      <c r="CS11" s="178">
        <f t="shared" si="3"/>
        <v>0.73</v>
      </c>
      <c r="CT11" s="178">
        <f t="shared" si="3"/>
        <v>0.74</v>
      </c>
      <c r="CU11" s="246">
        <f t="shared" si="3"/>
        <v>0.78</v>
      </c>
      <c r="CV11" s="178">
        <f t="shared" si="3"/>
        <v>0.79</v>
      </c>
      <c r="CW11" s="178">
        <f t="shared" si="3"/>
        <v>0.81</v>
      </c>
      <c r="CX11" s="178">
        <f t="shared" si="3"/>
        <v>0.79</v>
      </c>
      <c r="CY11" s="246">
        <f t="shared" si="3"/>
        <v>0.79</v>
      </c>
      <c r="CZ11" s="178">
        <f t="shared" si="3"/>
        <v>0.8</v>
      </c>
      <c r="DA11" s="178">
        <f t="shared" si="3"/>
        <v>0.77</v>
      </c>
      <c r="DB11" s="178">
        <f t="shared" si="3"/>
        <v>0.73</v>
      </c>
      <c r="DC11" s="246">
        <f t="shared" si="3"/>
        <v>0.74</v>
      </c>
      <c r="DD11" s="178">
        <f t="shared" si="3"/>
        <v>0.74</v>
      </c>
      <c r="DE11" s="178">
        <f t="shared" si="3"/>
        <v>0.75</v>
      </c>
      <c r="DF11" s="178">
        <f t="shared" si="3"/>
        <v>0.74</v>
      </c>
      <c r="DG11" s="246">
        <f t="shared" si="3"/>
        <v>0.75</v>
      </c>
      <c r="DH11" s="178">
        <f t="shared" si="3"/>
        <v>0.74</v>
      </c>
      <c r="DI11" s="178">
        <f t="shared" si="3"/>
        <v>0.73</v>
      </c>
      <c r="DJ11" s="178">
        <f>ROUND(DJ10/DJ7,2)</f>
        <v>0.74</v>
      </c>
      <c r="DK11" s="246">
        <f>ROUND(DK10/DK7,2)</f>
        <v>0.7</v>
      </c>
      <c r="DL11" s="178">
        <f>ROUND(DL10/DL7,2)</f>
        <v>0.7</v>
      </c>
      <c r="DM11" s="178"/>
      <c r="DN11" s="178"/>
      <c r="DO11" s="246"/>
    </row>
    <row r="12" spans="1:119" ht="12" customHeight="1" thickBot="1">
      <c r="B12" s="48" t="str">
        <f>names!A190</f>
        <v>EUR/USD</v>
      </c>
      <c r="C12" s="178">
        <v>1.32</v>
      </c>
      <c r="D12" s="178">
        <v>1.31</v>
      </c>
      <c r="E12" s="178">
        <v>1.32</v>
      </c>
      <c r="F12" s="178">
        <v>1.36</v>
      </c>
      <c r="G12" s="184">
        <v>1.33</v>
      </c>
      <c r="H12" s="178">
        <v>1.37</v>
      </c>
      <c r="I12" s="178">
        <v>1.37</v>
      </c>
      <c r="J12" s="178">
        <v>1.33</v>
      </c>
      <c r="K12" s="178">
        <v>1.25</v>
      </c>
      <c r="L12" s="184">
        <v>1.33</v>
      </c>
      <c r="M12" s="178">
        <v>1.1299999999999999</v>
      </c>
      <c r="N12" s="178">
        <v>1.1100000000000001</v>
      </c>
      <c r="O12" s="178">
        <v>1.1100000000000001</v>
      </c>
      <c r="P12" s="178">
        <v>1.1000000000000001</v>
      </c>
      <c r="Q12" s="184">
        <v>1.1100000000000001</v>
      </c>
      <c r="R12" s="178">
        <v>1.1000000000000001</v>
      </c>
      <c r="S12" s="178">
        <v>1.1299999999999999</v>
      </c>
      <c r="T12" s="178">
        <v>1.1200000000000001</v>
      </c>
      <c r="U12" s="178">
        <v>1.08</v>
      </c>
      <c r="V12" s="184">
        <v>1.1100000000000001</v>
      </c>
      <c r="W12" s="178">
        <v>1.06</v>
      </c>
      <c r="X12" s="178">
        <v>1.1000000000000001</v>
      </c>
      <c r="Y12" s="178">
        <v>1.17</v>
      </c>
      <c r="Z12" s="178">
        <v>1.18</v>
      </c>
      <c r="AA12" s="184">
        <v>1.1299999999999999</v>
      </c>
      <c r="AB12" s="178">
        <v>1.23</v>
      </c>
      <c r="AC12" s="178">
        <v>1.19</v>
      </c>
      <c r="AD12" s="178">
        <v>1.1599999999999999</v>
      </c>
      <c r="AE12" s="178">
        <v>1.1399999999999999</v>
      </c>
      <c r="AF12" s="184">
        <v>1.18</v>
      </c>
      <c r="AG12" s="178">
        <v>1.1399999999999999</v>
      </c>
      <c r="AH12" s="178">
        <v>1.1200000000000001</v>
      </c>
      <c r="AI12" s="178">
        <v>1.1100000000000001</v>
      </c>
      <c r="AJ12" s="178">
        <v>1.1100000000000001</v>
      </c>
      <c r="AK12" s="184">
        <v>1.1200000000000001</v>
      </c>
      <c r="AL12" s="178">
        <v>1.1000000000000001</v>
      </c>
      <c r="AM12" s="178">
        <v>1.1000000000000001</v>
      </c>
      <c r="AN12" s="178">
        <v>1.17</v>
      </c>
      <c r="AO12" s="178">
        <v>1.19</v>
      </c>
      <c r="AP12" s="184">
        <v>1.1399999999999999</v>
      </c>
      <c r="AQ12" s="178">
        <v>1.2</v>
      </c>
      <c r="AR12" s="178">
        <v>1.21</v>
      </c>
      <c r="AS12" s="178">
        <v>1.18</v>
      </c>
      <c r="AT12" s="178">
        <v>1.1399999999999999</v>
      </c>
      <c r="AU12" s="184">
        <v>1.18</v>
      </c>
      <c r="AV12" s="178">
        <v>1.1200000000000001</v>
      </c>
      <c r="AW12" s="178">
        <v>1.06</v>
      </c>
      <c r="AX12" s="178">
        <v>1.01</v>
      </c>
      <c r="AY12" s="178">
        <v>1.02</v>
      </c>
      <c r="AZ12" s="184">
        <v>1.05</v>
      </c>
      <c r="BA12" s="178">
        <v>1.07</v>
      </c>
      <c r="BB12" s="178">
        <v>1.0900000000000001</v>
      </c>
      <c r="BC12" s="178">
        <v>1.0900000000000001</v>
      </c>
      <c r="BD12" s="178">
        <v>1.08</v>
      </c>
      <c r="BE12" s="184">
        <v>1.08</v>
      </c>
      <c r="BF12" s="178">
        <v>1.0900000000000001</v>
      </c>
      <c r="BG12" s="178">
        <v>1.08</v>
      </c>
      <c r="BH12" s="178">
        <v>1.1000000000000001</v>
      </c>
      <c r="BI12" s="178">
        <v>1.07</v>
      </c>
      <c r="BJ12" s="184">
        <v>1.08</v>
      </c>
      <c r="BK12" s="178">
        <v>1.05</v>
      </c>
      <c r="BL12" s="178"/>
      <c r="BM12" s="178"/>
      <c r="BN12" s="178"/>
      <c r="BO12" s="783"/>
      <c r="BP12" s="178">
        <v>1.28</v>
      </c>
      <c r="BQ12" s="178">
        <v>1.31</v>
      </c>
      <c r="BR12" s="178">
        <v>1.35</v>
      </c>
      <c r="BS12" s="246">
        <v>1.38</v>
      </c>
      <c r="BT12" s="178">
        <v>1.38</v>
      </c>
      <c r="BU12" s="178">
        <v>1.37</v>
      </c>
      <c r="BV12" s="178">
        <v>1.26</v>
      </c>
      <c r="BW12" s="246">
        <v>1.21</v>
      </c>
      <c r="BX12" s="178">
        <v>1.08</v>
      </c>
      <c r="BY12" s="178">
        <v>1.1200000000000001</v>
      </c>
      <c r="BZ12" s="178">
        <v>1.1200000000000001</v>
      </c>
      <c r="CA12" s="246">
        <v>1.0900000000000001</v>
      </c>
      <c r="CB12" s="178">
        <v>1.1399999999999999</v>
      </c>
      <c r="CC12" s="178">
        <v>1.1100000000000001</v>
      </c>
      <c r="CD12" s="178">
        <v>1.1200000000000001</v>
      </c>
      <c r="CE12" s="246">
        <v>1.05</v>
      </c>
      <c r="CF12" s="178">
        <v>1.07</v>
      </c>
      <c r="CG12" s="178">
        <v>1.1399999999999999</v>
      </c>
      <c r="CH12" s="178">
        <v>1.18</v>
      </c>
      <c r="CI12" s="246">
        <v>1.2</v>
      </c>
      <c r="CJ12" s="178">
        <v>1.23</v>
      </c>
      <c r="CK12" s="178">
        <v>1.17</v>
      </c>
      <c r="CL12" s="178">
        <v>1.1599999999999999</v>
      </c>
      <c r="CM12" s="246">
        <v>1.1499999999999999</v>
      </c>
      <c r="CN12" s="178">
        <v>1.1200000000000001</v>
      </c>
      <c r="CO12" s="178">
        <v>1.1399999999999999</v>
      </c>
      <c r="CP12" s="178">
        <v>1.0900000000000001</v>
      </c>
      <c r="CQ12" s="246">
        <v>1.1200000000000001</v>
      </c>
      <c r="CR12" s="178">
        <v>1.1000000000000001</v>
      </c>
      <c r="CS12" s="178">
        <v>1.1200000000000001</v>
      </c>
      <c r="CT12" s="178">
        <v>1.17</v>
      </c>
      <c r="CU12" s="246">
        <v>1.23</v>
      </c>
      <c r="CV12" s="178">
        <v>1.17</v>
      </c>
      <c r="CW12" s="178">
        <v>1.19</v>
      </c>
      <c r="CX12" s="178">
        <v>1.1599999999999999</v>
      </c>
      <c r="CY12" s="246">
        <v>1.1299999999999999</v>
      </c>
      <c r="CZ12" s="178">
        <v>1.1100000000000001</v>
      </c>
      <c r="DA12" s="178">
        <v>1.04</v>
      </c>
      <c r="DB12" s="178">
        <v>0.97</v>
      </c>
      <c r="DC12" s="246">
        <v>1.07</v>
      </c>
      <c r="DD12" s="178">
        <v>1.0900000000000001</v>
      </c>
      <c r="DE12" s="178">
        <v>1.0900000000000001</v>
      </c>
      <c r="DF12" s="178">
        <v>1.06</v>
      </c>
      <c r="DG12" s="246">
        <v>1.1100000000000001</v>
      </c>
      <c r="DH12" s="178">
        <v>1.08</v>
      </c>
      <c r="DI12" s="178">
        <v>1.07</v>
      </c>
      <c r="DJ12" s="178">
        <v>1.1200000000000001</v>
      </c>
      <c r="DK12" s="245">
        <v>1.04</v>
      </c>
      <c r="DL12" s="178">
        <v>1.08</v>
      </c>
      <c r="DM12" s="178"/>
      <c r="DN12" s="178"/>
      <c r="DO12" s="245"/>
    </row>
    <row r="13" spans="1:119" ht="12" customHeight="1">
      <c r="B13" s="109" t="str">
        <f>names!A191</f>
        <v>USD/LTL</v>
      </c>
      <c r="C13" s="110">
        <v>2.62</v>
      </c>
      <c r="D13" s="110">
        <v>2.64</v>
      </c>
      <c r="E13" s="124">
        <v>2.61</v>
      </c>
      <c r="F13" s="124">
        <v>2.54</v>
      </c>
      <c r="G13" s="181">
        <v>2.6</v>
      </c>
      <c r="H13" s="124">
        <v>2.52</v>
      </c>
      <c r="I13" s="124">
        <v>2.52</v>
      </c>
      <c r="J13" s="126">
        <v>2.6</v>
      </c>
      <c r="K13" s="126">
        <v>2.76</v>
      </c>
      <c r="L13" s="181">
        <v>2.6</v>
      </c>
      <c r="M13" s="126" t="s">
        <v>190</v>
      </c>
      <c r="N13" s="126" t="s">
        <v>190</v>
      </c>
      <c r="O13" s="126" t="s">
        <v>190</v>
      </c>
      <c r="P13" s="126" t="s">
        <v>190</v>
      </c>
      <c r="Q13" s="181" t="s">
        <v>190</v>
      </c>
      <c r="R13" s="126" t="s">
        <v>190</v>
      </c>
      <c r="S13" s="126" t="s">
        <v>190</v>
      </c>
      <c r="T13" s="126" t="s">
        <v>190</v>
      </c>
      <c r="U13" s="126" t="s">
        <v>190</v>
      </c>
      <c r="V13" s="181" t="s">
        <v>190</v>
      </c>
      <c r="W13" s="126" t="s">
        <v>190</v>
      </c>
      <c r="X13" s="126" t="s">
        <v>190</v>
      </c>
      <c r="Y13" s="126" t="s">
        <v>190</v>
      </c>
      <c r="Z13" s="126" t="s">
        <v>190</v>
      </c>
      <c r="AA13" s="181" t="s">
        <v>190</v>
      </c>
      <c r="AB13" s="126" t="s">
        <v>190</v>
      </c>
      <c r="AC13" s="126" t="s">
        <v>190</v>
      </c>
      <c r="AD13" s="126" t="s">
        <v>190</v>
      </c>
      <c r="AE13" s="126" t="s">
        <v>190</v>
      </c>
      <c r="AF13" s="181" t="s">
        <v>190</v>
      </c>
      <c r="AG13" s="126" t="s">
        <v>190</v>
      </c>
      <c r="AH13" s="126" t="s">
        <v>190</v>
      </c>
      <c r="AI13" s="126" t="s">
        <v>190</v>
      </c>
      <c r="AJ13" s="126" t="s">
        <v>190</v>
      </c>
      <c r="AK13" s="181" t="s">
        <v>190</v>
      </c>
      <c r="AL13" s="126" t="s">
        <v>190</v>
      </c>
      <c r="AM13" s="126" t="s">
        <v>190</v>
      </c>
      <c r="AN13" s="126" t="s">
        <v>190</v>
      </c>
      <c r="AO13" s="126" t="s">
        <v>190</v>
      </c>
      <c r="AP13" s="181" t="s">
        <v>190</v>
      </c>
      <c r="AQ13" s="126" t="s">
        <v>190</v>
      </c>
      <c r="AR13" s="126" t="s">
        <v>190</v>
      </c>
      <c r="AS13" s="126" t="s">
        <v>190</v>
      </c>
      <c r="AT13" s="126" t="s">
        <v>190</v>
      </c>
      <c r="AU13" s="181" t="s">
        <v>190</v>
      </c>
      <c r="AV13" s="126" t="s">
        <v>190</v>
      </c>
      <c r="AW13" s="126" t="s">
        <v>190</v>
      </c>
      <c r="AX13" s="126" t="s">
        <v>190</v>
      </c>
      <c r="AY13" s="126" t="s">
        <v>190</v>
      </c>
      <c r="AZ13" s="181" t="s">
        <v>190</v>
      </c>
      <c r="BA13" s="126" t="s">
        <v>190</v>
      </c>
      <c r="BB13" s="126" t="s">
        <v>190</v>
      </c>
      <c r="BC13" s="126" t="s">
        <v>190</v>
      </c>
      <c r="BD13" s="126" t="s">
        <v>190</v>
      </c>
      <c r="BE13" s="181" t="s">
        <v>190</v>
      </c>
      <c r="BF13" s="126" t="s">
        <v>190</v>
      </c>
      <c r="BG13" s="126" t="s">
        <v>190</v>
      </c>
      <c r="BH13" s="126" t="s">
        <v>190</v>
      </c>
      <c r="BI13" s="126" t="s">
        <v>190</v>
      </c>
      <c r="BJ13" s="181" t="s">
        <v>190</v>
      </c>
      <c r="BK13" s="126" t="s">
        <v>190</v>
      </c>
      <c r="BL13" s="126"/>
      <c r="BM13" s="126"/>
      <c r="BN13" s="126"/>
      <c r="BO13" s="784"/>
      <c r="BP13" s="111">
        <v>2.7</v>
      </c>
      <c r="BQ13" s="111">
        <v>2.65</v>
      </c>
      <c r="BR13" s="126">
        <v>2.56</v>
      </c>
      <c r="BS13" s="249">
        <v>2.5099999999999998</v>
      </c>
      <c r="BT13" s="126">
        <v>2.5099999999999998</v>
      </c>
      <c r="BU13" s="126">
        <v>2.5299999999999998</v>
      </c>
      <c r="BV13" s="126">
        <v>2.72</v>
      </c>
      <c r="BW13" s="249">
        <v>2.84</v>
      </c>
      <c r="BX13" s="126" t="s">
        <v>190</v>
      </c>
      <c r="BY13" s="126" t="s">
        <v>190</v>
      </c>
      <c r="BZ13" s="126" t="s">
        <v>190</v>
      </c>
      <c r="CA13" s="249" t="s">
        <v>190</v>
      </c>
      <c r="CB13" s="126" t="s">
        <v>190</v>
      </c>
      <c r="CC13" s="126" t="s">
        <v>190</v>
      </c>
      <c r="CD13" s="126" t="s">
        <v>190</v>
      </c>
      <c r="CE13" s="249" t="s">
        <v>190</v>
      </c>
      <c r="CF13" s="126" t="s">
        <v>190</v>
      </c>
      <c r="CG13" s="126" t="s">
        <v>190</v>
      </c>
      <c r="CH13" s="126" t="s">
        <v>190</v>
      </c>
      <c r="CI13" s="249" t="s">
        <v>190</v>
      </c>
      <c r="CJ13" s="126" t="s">
        <v>190</v>
      </c>
      <c r="CK13" s="126" t="s">
        <v>190</v>
      </c>
      <c r="CL13" s="126" t="s">
        <v>190</v>
      </c>
      <c r="CM13" s="249" t="s">
        <v>190</v>
      </c>
      <c r="CN13" s="126" t="s">
        <v>190</v>
      </c>
      <c r="CO13" s="126" t="s">
        <v>190</v>
      </c>
      <c r="CP13" s="126" t="s">
        <v>190</v>
      </c>
      <c r="CQ13" s="249" t="s">
        <v>190</v>
      </c>
      <c r="CR13" s="126" t="s">
        <v>190</v>
      </c>
      <c r="CS13" s="126" t="s">
        <v>190</v>
      </c>
      <c r="CT13" s="126" t="s">
        <v>190</v>
      </c>
      <c r="CU13" s="249" t="s">
        <v>190</v>
      </c>
      <c r="CV13" s="126" t="s">
        <v>190</v>
      </c>
      <c r="CW13" s="126" t="s">
        <v>190</v>
      </c>
      <c r="CX13" s="126" t="s">
        <v>190</v>
      </c>
      <c r="CY13" s="249" t="s">
        <v>190</v>
      </c>
      <c r="CZ13" s="126" t="s">
        <v>190</v>
      </c>
      <c r="DA13" s="126" t="s">
        <v>190</v>
      </c>
      <c r="DB13" s="126" t="s">
        <v>190</v>
      </c>
      <c r="DC13" s="249" t="s">
        <v>190</v>
      </c>
      <c r="DD13" s="126" t="s">
        <v>190</v>
      </c>
      <c r="DE13" s="126" t="s">
        <v>190</v>
      </c>
      <c r="DF13" s="126" t="s">
        <v>190</v>
      </c>
      <c r="DG13" s="249" t="s">
        <v>190</v>
      </c>
      <c r="DH13" s="126" t="s">
        <v>190</v>
      </c>
      <c r="DI13" s="126" t="s">
        <v>190</v>
      </c>
      <c r="DJ13" s="126" t="s">
        <v>190</v>
      </c>
      <c r="DK13" s="246" t="s">
        <v>190</v>
      </c>
      <c r="DL13" s="126" t="s">
        <v>190</v>
      </c>
      <c r="DM13" s="126"/>
      <c r="DN13" s="126"/>
      <c r="DO13" s="246"/>
    </row>
    <row r="14" spans="1:119" ht="12" customHeight="1" thickBot="1">
      <c r="B14" s="48" t="str">
        <f>names!A192</f>
        <v>EUR/LTL</v>
      </c>
      <c r="C14" s="10">
        <v>3.45</v>
      </c>
      <c r="D14" s="10">
        <v>3.45</v>
      </c>
      <c r="E14" s="10">
        <v>3.45</v>
      </c>
      <c r="F14" s="10">
        <v>3.45</v>
      </c>
      <c r="G14" s="107">
        <v>3.45</v>
      </c>
      <c r="H14" s="10">
        <v>3.45</v>
      </c>
      <c r="I14" s="10">
        <v>3.45</v>
      </c>
      <c r="J14" s="10">
        <v>3.45</v>
      </c>
      <c r="K14" s="10">
        <v>3.45</v>
      </c>
      <c r="L14" s="107">
        <v>3.45</v>
      </c>
      <c r="M14" s="10" t="s">
        <v>190</v>
      </c>
      <c r="N14" s="10" t="s">
        <v>190</v>
      </c>
      <c r="O14" s="10" t="s">
        <v>190</v>
      </c>
      <c r="P14" s="10" t="s">
        <v>190</v>
      </c>
      <c r="Q14" s="107" t="s">
        <v>190</v>
      </c>
      <c r="R14" s="10" t="s">
        <v>190</v>
      </c>
      <c r="S14" s="10" t="s">
        <v>190</v>
      </c>
      <c r="T14" s="10" t="s">
        <v>190</v>
      </c>
      <c r="U14" s="10" t="s">
        <v>190</v>
      </c>
      <c r="V14" s="107" t="s">
        <v>190</v>
      </c>
      <c r="W14" s="10" t="s">
        <v>190</v>
      </c>
      <c r="X14" s="10" t="s">
        <v>190</v>
      </c>
      <c r="Y14" s="10" t="s">
        <v>190</v>
      </c>
      <c r="Z14" s="10" t="s">
        <v>190</v>
      </c>
      <c r="AA14" s="107" t="s">
        <v>190</v>
      </c>
      <c r="AB14" s="10" t="s">
        <v>190</v>
      </c>
      <c r="AC14" s="10" t="s">
        <v>190</v>
      </c>
      <c r="AD14" s="10" t="s">
        <v>190</v>
      </c>
      <c r="AE14" s="10" t="s">
        <v>190</v>
      </c>
      <c r="AF14" s="107" t="s">
        <v>190</v>
      </c>
      <c r="AG14" s="10" t="s">
        <v>190</v>
      </c>
      <c r="AH14" s="10" t="s">
        <v>190</v>
      </c>
      <c r="AI14" s="10" t="s">
        <v>190</v>
      </c>
      <c r="AJ14" s="10" t="s">
        <v>190</v>
      </c>
      <c r="AK14" s="107" t="s">
        <v>190</v>
      </c>
      <c r="AL14" s="10" t="s">
        <v>190</v>
      </c>
      <c r="AM14" s="10" t="s">
        <v>190</v>
      </c>
      <c r="AN14" s="10" t="s">
        <v>190</v>
      </c>
      <c r="AO14" s="10" t="s">
        <v>190</v>
      </c>
      <c r="AP14" s="107" t="s">
        <v>190</v>
      </c>
      <c r="AQ14" s="39" t="s">
        <v>190</v>
      </c>
      <c r="AR14" s="10" t="s">
        <v>190</v>
      </c>
      <c r="AS14" s="10" t="s">
        <v>190</v>
      </c>
      <c r="AT14" s="10" t="s">
        <v>190</v>
      </c>
      <c r="AU14" s="107" t="s">
        <v>190</v>
      </c>
      <c r="AV14" s="10" t="s">
        <v>190</v>
      </c>
      <c r="AW14" s="10" t="s">
        <v>190</v>
      </c>
      <c r="AX14" s="10" t="s">
        <v>190</v>
      </c>
      <c r="AY14" s="10" t="s">
        <v>190</v>
      </c>
      <c r="AZ14" s="107" t="s">
        <v>190</v>
      </c>
      <c r="BA14" s="10" t="s">
        <v>190</v>
      </c>
      <c r="BB14" s="10" t="s">
        <v>190</v>
      </c>
      <c r="BC14" s="10" t="s">
        <v>190</v>
      </c>
      <c r="BD14" s="10" t="s">
        <v>190</v>
      </c>
      <c r="BE14" s="107" t="s">
        <v>190</v>
      </c>
      <c r="BF14" s="10" t="s">
        <v>190</v>
      </c>
      <c r="BG14" s="10" t="s">
        <v>190</v>
      </c>
      <c r="BH14" s="10" t="s">
        <v>190</v>
      </c>
      <c r="BI14" s="10" t="s">
        <v>190</v>
      </c>
      <c r="BJ14" s="107" t="s">
        <v>190</v>
      </c>
      <c r="BK14" s="10" t="s">
        <v>190</v>
      </c>
      <c r="BL14" s="10"/>
      <c r="BM14" s="10"/>
      <c r="BN14" s="10"/>
      <c r="BO14" s="785"/>
      <c r="BP14" s="10">
        <v>3.45</v>
      </c>
      <c r="BQ14" s="10">
        <v>3.45</v>
      </c>
      <c r="BR14" s="10">
        <v>3.45</v>
      </c>
      <c r="BS14" s="247">
        <v>3.45</v>
      </c>
      <c r="BT14" s="10">
        <v>3.45</v>
      </c>
      <c r="BU14" s="10">
        <v>3.45</v>
      </c>
      <c r="BV14" s="10">
        <v>3.45</v>
      </c>
      <c r="BW14" s="247">
        <v>3.45</v>
      </c>
      <c r="BX14" s="10" t="s">
        <v>190</v>
      </c>
      <c r="BY14" s="10" t="s">
        <v>190</v>
      </c>
      <c r="BZ14" s="10" t="s">
        <v>190</v>
      </c>
      <c r="CA14" s="247" t="s">
        <v>190</v>
      </c>
      <c r="CB14" s="10" t="s">
        <v>190</v>
      </c>
      <c r="CC14" s="10" t="s">
        <v>190</v>
      </c>
      <c r="CD14" s="10" t="s">
        <v>190</v>
      </c>
      <c r="CE14" s="247" t="s">
        <v>190</v>
      </c>
      <c r="CF14" s="10" t="s">
        <v>190</v>
      </c>
      <c r="CG14" s="10" t="s">
        <v>190</v>
      </c>
      <c r="CH14" s="10" t="s">
        <v>190</v>
      </c>
      <c r="CI14" s="247" t="s">
        <v>190</v>
      </c>
      <c r="CJ14" s="10" t="s">
        <v>190</v>
      </c>
      <c r="CK14" s="10" t="s">
        <v>190</v>
      </c>
      <c r="CL14" s="10" t="s">
        <v>190</v>
      </c>
      <c r="CM14" s="247" t="s">
        <v>190</v>
      </c>
      <c r="CN14" s="10" t="s">
        <v>190</v>
      </c>
      <c r="CO14" s="10" t="s">
        <v>190</v>
      </c>
      <c r="CP14" s="10" t="s">
        <v>190</v>
      </c>
      <c r="CQ14" s="247" t="s">
        <v>190</v>
      </c>
      <c r="CR14" s="10" t="s">
        <v>190</v>
      </c>
      <c r="CS14" s="10" t="s">
        <v>190</v>
      </c>
      <c r="CT14" s="10" t="s">
        <v>190</v>
      </c>
      <c r="CU14" s="247" t="s">
        <v>190</v>
      </c>
      <c r="CV14" s="10" t="s">
        <v>190</v>
      </c>
      <c r="CW14" s="10" t="s">
        <v>190</v>
      </c>
      <c r="CX14" s="10" t="s">
        <v>190</v>
      </c>
      <c r="CY14" s="247" t="s">
        <v>190</v>
      </c>
      <c r="CZ14" s="10" t="s">
        <v>190</v>
      </c>
      <c r="DA14" s="10" t="s">
        <v>190</v>
      </c>
      <c r="DB14" s="10" t="s">
        <v>190</v>
      </c>
      <c r="DC14" s="247" t="s">
        <v>190</v>
      </c>
      <c r="DD14" s="10" t="s">
        <v>190</v>
      </c>
      <c r="DE14" s="10" t="s">
        <v>190</v>
      </c>
      <c r="DF14" s="10" t="s">
        <v>190</v>
      </c>
      <c r="DG14" s="247" t="s">
        <v>190</v>
      </c>
      <c r="DH14" s="10" t="s">
        <v>190</v>
      </c>
      <c r="DI14" s="10" t="s">
        <v>190</v>
      </c>
      <c r="DJ14" s="10" t="s">
        <v>190</v>
      </c>
      <c r="DK14" s="246" t="s">
        <v>190</v>
      </c>
      <c r="DL14" s="10" t="s">
        <v>190</v>
      </c>
      <c r="DM14" s="10"/>
      <c r="DN14" s="10"/>
      <c r="DO14" s="246"/>
    </row>
    <row r="15" spans="1:119" ht="12" customHeight="1">
      <c r="B15" s="109" t="str">
        <f>names!A193</f>
        <v>USD/CZK</v>
      </c>
      <c r="C15" s="112">
        <v>19.399999999999999</v>
      </c>
      <c r="D15" s="112">
        <v>19.8</v>
      </c>
      <c r="E15" s="125">
        <v>19.5</v>
      </c>
      <c r="F15" s="125">
        <v>19.600000000000001</v>
      </c>
      <c r="G15" s="114">
        <v>19.5</v>
      </c>
      <c r="H15" s="125">
        <v>20</v>
      </c>
      <c r="I15" s="125">
        <v>20</v>
      </c>
      <c r="J15" s="125">
        <v>20.8</v>
      </c>
      <c r="K15" s="125">
        <v>22.1</v>
      </c>
      <c r="L15" s="114">
        <v>20.8</v>
      </c>
      <c r="M15" s="125">
        <v>24.6</v>
      </c>
      <c r="N15" s="125">
        <v>24.8</v>
      </c>
      <c r="O15" s="125">
        <v>24.4</v>
      </c>
      <c r="P15" s="125">
        <v>24.7</v>
      </c>
      <c r="Q15" s="114">
        <v>24.6</v>
      </c>
      <c r="R15" s="125">
        <v>24.5</v>
      </c>
      <c r="S15" s="125">
        <v>23.9</v>
      </c>
      <c r="T15" s="125">
        <v>24.2</v>
      </c>
      <c r="U15" s="125">
        <v>25.1</v>
      </c>
      <c r="V15" s="114">
        <v>24.4</v>
      </c>
      <c r="W15" s="125">
        <v>25.4</v>
      </c>
      <c r="X15" s="125">
        <v>24.1</v>
      </c>
      <c r="Y15" s="125">
        <v>22.2</v>
      </c>
      <c r="Z15" s="125">
        <v>21.8</v>
      </c>
      <c r="AA15" s="114">
        <v>23.4</v>
      </c>
      <c r="AB15" s="125">
        <v>20.7</v>
      </c>
      <c r="AC15" s="125">
        <v>21.5</v>
      </c>
      <c r="AD15" s="125">
        <v>22.1</v>
      </c>
      <c r="AE15" s="125">
        <v>22.7</v>
      </c>
      <c r="AF15" s="114">
        <v>21.7</v>
      </c>
      <c r="AG15" s="125">
        <v>22.6</v>
      </c>
      <c r="AH15" s="125">
        <v>22.9</v>
      </c>
      <c r="AI15" s="125">
        <v>23.2</v>
      </c>
      <c r="AJ15" s="125">
        <v>23.1</v>
      </c>
      <c r="AK15" s="114">
        <v>22.9</v>
      </c>
      <c r="AL15" s="125">
        <v>23.3</v>
      </c>
      <c r="AM15" s="125">
        <v>24.6</v>
      </c>
      <c r="AN15" s="125">
        <v>22.6</v>
      </c>
      <c r="AO15" s="125">
        <v>22.4</v>
      </c>
      <c r="AP15" s="114">
        <v>23.2</v>
      </c>
      <c r="AQ15" s="125">
        <v>21.6</v>
      </c>
      <c r="AR15" s="125">
        <v>21.3</v>
      </c>
      <c r="AS15" s="125">
        <v>21.6</v>
      </c>
      <c r="AT15" s="125">
        <v>22.2</v>
      </c>
      <c r="AU15" s="114">
        <v>21.7</v>
      </c>
      <c r="AV15" s="125">
        <v>22</v>
      </c>
      <c r="AW15" s="125">
        <v>23.2</v>
      </c>
      <c r="AX15" s="125">
        <v>24.4</v>
      </c>
      <c r="AY15" s="125">
        <v>23.9</v>
      </c>
      <c r="AZ15" s="114">
        <v>23.4</v>
      </c>
      <c r="BA15" s="125">
        <v>22.2</v>
      </c>
      <c r="BB15" s="125">
        <v>21.7</v>
      </c>
      <c r="BC15" s="125">
        <v>22.2</v>
      </c>
      <c r="BD15" s="125">
        <v>22.8</v>
      </c>
      <c r="BE15" s="114">
        <v>22.2</v>
      </c>
      <c r="BF15" s="125">
        <v>23.1</v>
      </c>
      <c r="BG15" s="125">
        <v>23.2</v>
      </c>
      <c r="BH15" s="125">
        <v>22.9</v>
      </c>
      <c r="BI15" s="125">
        <v>23.6</v>
      </c>
      <c r="BJ15" s="114">
        <v>23.2</v>
      </c>
      <c r="BK15" s="125">
        <v>23.8</v>
      </c>
      <c r="BL15" s="125"/>
      <c r="BM15" s="125"/>
      <c r="BN15" s="125"/>
      <c r="BO15" s="786"/>
      <c r="BP15" s="113">
        <v>20.100000000000001</v>
      </c>
      <c r="BQ15" s="113">
        <v>19.8</v>
      </c>
      <c r="BR15" s="127">
        <v>19.100000000000001</v>
      </c>
      <c r="BS15" s="251">
        <v>19.899999999999999</v>
      </c>
      <c r="BT15" s="127">
        <v>19.899999999999999</v>
      </c>
      <c r="BU15" s="127">
        <v>20.100000000000001</v>
      </c>
      <c r="BV15" s="127">
        <v>21.9</v>
      </c>
      <c r="BW15" s="251">
        <v>22.8</v>
      </c>
      <c r="BX15" s="127">
        <v>25.6</v>
      </c>
      <c r="BY15" s="127">
        <v>24.3</v>
      </c>
      <c r="BZ15" s="127">
        <v>24.3</v>
      </c>
      <c r="CA15" s="251">
        <v>24.8</v>
      </c>
      <c r="CB15" s="127">
        <v>23.8</v>
      </c>
      <c r="CC15" s="127">
        <v>24.4</v>
      </c>
      <c r="CD15" s="125">
        <v>24.2</v>
      </c>
      <c r="CE15" s="251">
        <v>25.6</v>
      </c>
      <c r="CF15" s="127">
        <v>25.3</v>
      </c>
      <c r="CG15" s="127">
        <v>23</v>
      </c>
      <c r="CH15" s="125">
        <v>22</v>
      </c>
      <c r="CI15" s="251">
        <v>21.3</v>
      </c>
      <c r="CJ15" s="127">
        <v>20.6</v>
      </c>
      <c r="CK15" s="127">
        <v>22.3</v>
      </c>
      <c r="CL15" s="125">
        <v>22</v>
      </c>
      <c r="CM15" s="251">
        <v>22.5</v>
      </c>
      <c r="CN15" s="125">
        <v>23</v>
      </c>
      <c r="CO15" s="125">
        <v>22.4</v>
      </c>
      <c r="CP15" s="125">
        <v>23.7</v>
      </c>
      <c r="CQ15" s="251">
        <v>22.6</v>
      </c>
      <c r="CR15" s="125">
        <v>24.9</v>
      </c>
      <c r="CS15" s="125">
        <v>23.9</v>
      </c>
      <c r="CT15" s="125">
        <v>23.2</v>
      </c>
      <c r="CU15" s="251">
        <v>21.4</v>
      </c>
      <c r="CV15" s="125">
        <v>21.9</v>
      </c>
      <c r="CW15" s="125">
        <v>21.7</v>
      </c>
      <c r="CX15" s="125">
        <v>22</v>
      </c>
      <c r="CY15" s="251">
        <v>22</v>
      </c>
      <c r="CZ15" s="125">
        <v>22</v>
      </c>
      <c r="DA15" s="125">
        <v>23.8</v>
      </c>
      <c r="DB15" s="125">
        <v>25.2</v>
      </c>
      <c r="DC15" s="251">
        <v>22.6</v>
      </c>
      <c r="DD15" s="125">
        <v>21.6</v>
      </c>
      <c r="DE15" s="125">
        <v>21.8</v>
      </c>
      <c r="DF15" s="125">
        <v>23</v>
      </c>
      <c r="DG15" s="251">
        <v>22.4</v>
      </c>
      <c r="DH15" s="125">
        <v>23.4</v>
      </c>
      <c r="DI15" s="125">
        <v>23.4</v>
      </c>
      <c r="DJ15" s="125">
        <v>22.5</v>
      </c>
      <c r="DK15" s="251">
        <v>24.2</v>
      </c>
      <c r="DL15" s="125">
        <v>23.1</v>
      </c>
      <c r="DM15" s="125"/>
      <c r="DN15" s="125"/>
      <c r="DO15" s="251"/>
    </row>
    <row r="16" spans="1:119" ht="12" customHeight="1" thickBot="1">
      <c r="B16" s="40" t="str">
        <f>names!A194</f>
        <v>EUR/CZK</v>
      </c>
      <c r="C16" s="11">
        <v>25.6</v>
      </c>
      <c r="D16" s="11">
        <v>25.8</v>
      </c>
      <c r="E16" s="11">
        <v>25.9</v>
      </c>
      <c r="F16" s="11">
        <v>26.7</v>
      </c>
      <c r="G16" s="108">
        <v>26</v>
      </c>
      <c r="H16" s="11">
        <v>27.4</v>
      </c>
      <c r="I16" s="11">
        <v>27.4</v>
      </c>
      <c r="J16" s="11">
        <v>27.6</v>
      </c>
      <c r="K16" s="11">
        <v>27.6</v>
      </c>
      <c r="L16" s="108">
        <v>27.5</v>
      </c>
      <c r="M16" s="11">
        <v>27.6</v>
      </c>
      <c r="N16" s="11">
        <v>27.4</v>
      </c>
      <c r="O16" s="11">
        <v>27.1</v>
      </c>
      <c r="P16" s="11">
        <v>27.1</v>
      </c>
      <c r="Q16" s="108">
        <v>27.3</v>
      </c>
      <c r="R16" s="11">
        <v>27</v>
      </c>
      <c r="S16" s="11">
        <v>27</v>
      </c>
      <c r="T16" s="11">
        <v>27</v>
      </c>
      <c r="U16" s="11">
        <v>27</v>
      </c>
      <c r="V16" s="108">
        <v>27</v>
      </c>
      <c r="W16" s="11">
        <v>27</v>
      </c>
      <c r="X16" s="11">
        <v>26.5</v>
      </c>
      <c r="Y16" s="11">
        <v>26.1</v>
      </c>
      <c r="Z16" s="11">
        <v>25.7</v>
      </c>
      <c r="AA16" s="108">
        <v>26.3</v>
      </c>
      <c r="AB16" s="11">
        <v>25.4</v>
      </c>
      <c r="AC16" s="11">
        <v>25.6</v>
      </c>
      <c r="AD16" s="11">
        <v>25.7</v>
      </c>
      <c r="AE16" s="11">
        <v>25.9</v>
      </c>
      <c r="AF16" s="108">
        <v>25.6</v>
      </c>
      <c r="AG16" s="11">
        <v>25.7</v>
      </c>
      <c r="AH16" s="11">
        <v>25.7</v>
      </c>
      <c r="AI16" s="11">
        <v>25.7</v>
      </c>
      <c r="AJ16" s="11">
        <v>25.6</v>
      </c>
      <c r="AK16" s="108">
        <v>25.7</v>
      </c>
      <c r="AL16" s="11">
        <v>25.6</v>
      </c>
      <c r="AM16" s="11">
        <v>27.1</v>
      </c>
      <c r="AN16" s="11">
        <v>26.5</v>
      </c>
      <c r="AO16" s="11">
        <v>26.7</v>
      </c>
      <c r="AP16" s="108">
        <v>26.4</v>
      </c>
      <c r="AQ16" s="11">
        <v>26.1</v>
      </c>
      <c r="AR16" s="11">
        <v>25.6</v>
      </c>
      <c r="AS16" s="11">
        <v>25.5</v>
      </c>
      <c r="AT16" s="11">
        <v>25.4</v>
      </c>
      <c r="AU16" s="108">
        <v>25.6</v>
      </c>
      <c r="AV16" s="11">
        <v>24.7</v>
      </c>
      <c r="AW16" s="11">
        <v>24.6</v>
      </c>
      <c r="AX16" s="11">
        <v>24.6</v>
      </c>
      <c r="AY16" s="11">
        <v>24.4</v>
      </c>
      <c r="AZ16" s="108">
        <v>24.6</v>
      </c>
      <c r="BA16" s="11">
        <v>23.8</v>
      </c>
      <c r="BB16" s="11">
        <v>23.6</v>
      </c>
      <c r="BC16" s="11">
        <v>24.1</v>
      </c>
      <c r="BD16" s="11">
        <v>24.5</v>
      </c>
      <c r="BE16" s="108">
        <v>24</v>
      </c>
      <c r="BF16" s="11">
        <v>25.1</v>
      </c>
      <c r="BG16" s="11">
        <v>25</v>
      </c>
      <c r="BH16" s="11">
        <v>25.2</v>
      </c>
      <c r="BI16" s="11">
        <v>25.2</v>
      </c>
      <c r="BJ16" s="108">
        <v>25.1</v>
      </c>
      <c r="BK16" s="11">
        <v>25.1</v>
      </c>
      <c r="BL16" s="11"/>
      <c r="BM16" s="11"/>
      <c r="BN16" s="11"/>
      <c r="BO16" s="787"/>
      <c r="BP16" s="11">
        <v>25.7</v>
      </c>
      <c r="BQ16" s="11">
        <v>26</v>
      </c>
      <c r="BR16" s="11">
        <v>25.7</v>
      </c>
      <c r="BS16" s="248">
        <v>27.4</v>
      </c>
      <c r="BT16" s="11">
        <v>27.4</v>
      </c>
      <c r="BU16" s="11">
        <v>27.5</v>
      </c>
      <c r="BV16" s="11">
        <v>27.5</v>
      </c>
      <c r="BW16" s="248">
        <v>27.7</v>
      </c>
      <c r="BX16" s="11">
        <v>27.5</v>
      </c>
      <c r="BY16" s="11">
        <v>27.2</v>
      </c>
      <c r="BZ16" s="11">
        <v>27.2</v>
      </c>
      <c r="CA16" s="248">
        <v>27</v>
      </c>
      <c r="CB16" s="11">
        <v>27.1</v>
      </c>
      <c r="CC16" s="11">
        <v>27.1</v>
      </c>
      <c r="CD16" s="11">
        <v>27</v>
      </c>
      <c r="CE16" s="248">
        <v>27</v>
      </c>
      <c r="CF16" s="11">
        <v>27</v>
      </c>
      <c r="CG16" s="11">
        <v>26.2</v>
      </c>
      <c r="CH16" s="11">
        <v>26</v>
      </c>
      <c r="CI16" s="248">
        <v>25.5</v>
      </c>
      <c r="CJ16" s="11">
        <v>25.4</v>
      </c>
      <c r="CK16" s="11">
        <v>26</v>
      </c>
      <c r="CL16" s="11">
        <v>25.7</v>
      </c>
      <c r="CM16" s="248">
        <v>25.7</v>
      </c>
      <c r="CN16" s="11">
        <v>25.8</v>
      </c>
      <c r="CO16" s="11">
        <v>25.4</v>
      </c>
      <c r="CP16" s="11">
        <v>25.8</v>
      </c>
      <c r="CQ16" s="248">
        <v>25.4</v>
      </c>
      <c r="CR16" s="11">
        <v>27.3</v>
      </c>
      <c r="CS16" s="11">
        <v>26.7</v>
      </c>
      <c r="CT16" s="11">
        <v>27.2</v>
      </c>
      <c r="CU16" s="248">
        <v>26.2</v>
      </c>
      <c r="CV16" s="11">
        <v>26</v>
      </c>
      <c r="CW16" s="11">
        <v>25.7</v>
      </c>
      <c r="CX16" s="11">
        <v>25.5</v>
      </c>
      <c r="CY16" s="248">
        <v>24.9</v>
      </c>
      <c r="CZ16" s="11">
        <v>24.4</v>
      </c>
      <c r="DA16" s="11">
        <v>24.7</v>
      </c>
      <c r="DB16" s="11">
        <v>24.6</v>
      </c>
      <c r="DC16" s="248">
        <v>24.1</v>
      </c>
      <c r="DD16" s="11">
        <v>23.5</v>
      </c>
      <c r="DE16" s="11">
        <v>23.7</v>
      </c>
      <c r="DF16" s="11">
        <v>24.3</v>
      </c>
      <c r="DG16" s="248">
        <v>24.7</v>
      </c>
      <c r="DH16" s="11">
        <v>25.3</v>
      </c>
      <c r="DI16" s="11">
        <v>25</v>
      </c>
      <c r="DJ16" s="11">
        <v>25.2</v>
      </c>
      <c r="DK16" s="248">
        <v>25.2</v>
      </c>
      <c r="DL16" s="11">
        <v>25</v>
      </c>
      <c r="DM16" s="11"/>
      <c r="DN16" s="11"/>
      <c r="DO16" s="248"/>
    </row>
    <row r="17" spans="2:115">
      <c r="B17" s="5" t="str">
        <f>names!A195</f>
        <v>1) Na podstawie kursów ustalanych przez Narodowy Bank Polski (NBP), Czeski Bank Narodowy, Bank Litwy (w latach 2013-2014) i Europejski Bank Centralny</v>
      </c>
    </row>
    <row r="20" spans="2:115" s="721" customFormat="1">
      <c r="CY20" s="5"/>
      <c r="CZ20" s="5"/>
      <c r="DA20" s="5"/>
      <c r="DB20" s="5"/>
      <c r="DC20" s="5"/>
      <c r="DD20" s="5"/>
      <c r="DE20" s="5"/>
      <c r="DF20" s="5"/>
      <c r="DG20" s="5"/>
      <c r="DH20" s="5"/>
      <c r="DI20" s="5"/>
      <c r="DJ20" s="5"/>
      <c r="DK20" s="5"/>
    </row>
    <row r="21" spans="2:115">
      <c r="C21" s="18"/>
      <c r="D21" s="18"/>
      <c r="E21" s="18"/>
      <c r="F21" s="18"/>
      <c r="G21" s="18"/>
      <c r="H21" s="18"/>
      <c r="I21" s="18"/>
      <c r="J21" s="18"/>
      <c r="K21" s="18"/>
      <c r="L21" s="18"/>
      <c r="M21" s="18"/>
      <c r="N21" s="18"/>
      <c r="O21" s="18"/>
      <c r="P21" s="18"/>
      <c r="R21" s="18"/>
      <c r="S21" s="18"/>
      <c r="T21" s="18"/>
      <c r="U21" s="18"/>
    </row>
    <row r="22" spans="2:115">
      <c r="C22" s="18"/>
      <c r="D22" s="18"/>
      <c r="E22" s="18"/>
      <c r="F22" s="18"/>
      <c r="G22" s="18"/>
      <c r="H22" s="18"/>
      <c r="J22" s="18"/>
      <c r="K22" s="18"/>
      <c r="L22" s="18"/>
      <c r="M22" s="18"/>
      <c r="O22" s="18"/>
      <c r="P22" s="18"/>
      <c r="R22" s="18"/>
      <c r="T22" s="18"/>
      <c r="U22" s="18"/>
    </row>
    <row r="26" spans="2:115">
      <c r="CC26" s="451"/>
    </row>
  </sheetData>
  <mergeCells count="3">
    <mergeCell ref="B4:B5"/>
    <mergeCell ref="C4:BO4"/>
    <mergeCell ref="BP4:DO4"/>
  </mergeCells>
  <conditionalFormatting sqref="A20:CX20">
    <cfRule type="cellIs" dxfId="109" priority="1" operator="equal">
      <formula>FALSE</formula>
    </cfRule>
  </conditionalFormatting>
  <conditionalFormatting sqref="DL20:XFD20">
    <cfRule type="cellIs" dxfId="108" priority="2" operator="equal">
      <formula>FALSE</formula>
    </cfRule>
  </conditionalFormatting>
  <printOptions horizont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34998626667073579"/>
    <pageSetUpPr fitToPage="1"/>
  </sheetPr>
  <dimension ref="B2:BJ32"/>
  <sheetViews>
    <sheetView showGridLines="0" view="pageBreakPreview" zoomScaleNormal="100" zoomScaleSheetLayoutView="100" workbookViewId="0">
      <pane xSplit="2" ySplit="5" topLeftCell="AA12" activePane="bottomRight" state="frozen"/>
      <selection activeCell="B7" sqref="B7"/>
      <selection pane="topRight" activeCell="B7" sqref="B7"/>
      <selection pane="bottomLeft" activeCell="B7" sqref="B7"/>
      <selection pane="bottomRight"/>
    </sheetView>
  </sheetViews>
  <sheetFormatPr defaultColWidth="9.42578125" defaultRowHeight="12.75" outlineLevelCol="1"/>
  <cols>
    <col min="1" max="1" width="1.28515625" style="812" customWidth="1"/>
    <col min="2" max="2" width="29.5703125" style="812" customWidth="1"/>
    <col min="3" max="6" width="7.5703125" style="812" hidden="1" customWidth="1" outlineLevel="1"/>
    <col min="7" max="7" width="7.5703125" style="812" customWidth="1" collapsed="1"/>
    <col min="8" max="11" width="7.5703125" style="812" hidden="1" customWidth="1" outlineLevel="1"/>
    <col min="12" max="12" width="7.5703125" style="812" customWidth="1" collapsed="1"/>
    <col min="13" max="16" width="7.5703125" style="812" hidden="1" customWidth="1" outlineLevel="1"/>
    <col min="17" max="17" width="7.5703125" style="812" customWidth="1" collapsed="1"/>
    <col min="18" max="21" width="7.5703125" style="812" hidden="1" customWidth="1" outlineLevel="1"/>
    <col min="22" max="22" width="7.5703125" style="812" customWidth="1" collapsed="1"/>
    <col min="23" max="26" width="7.5703125" style="812" hidden="1" customWidth="1" outlineLevel="1"/>
    <col min="27" max="27" width="7.5703125" style="812" customWidth="1" collapsed="1"/>
    <col min="28" max="31" width="7.5703125" style="812" hidden="1" customWidth="1" outlineLevel="1"/>
    <col min="32" max="32" width="7.5703125" style="812" customWidth="1" collapsed="1"/>
    <col min="33" max="36" width="7.5703125" style="812" hidden="1" customWidth="1" outlineLevel="1"/>
    <col min="37" max="37" width="7.5703125" style="812" customWidth="1" collapsed="1"/>
    <col min="38" max="41" width="7.5703125" style="812" hidden="1" customWidth="1" outlineLevel="1"/>
    <col min="42" max="42" width="7.5703125" style="812" customWidth="1" collapsed="1"/>
    <col min="43" max="46" width="7.5703125" style="812" hidden="1" customWidth="1" outlineLevel="1"/>
    <col min="47" max="47" width="7.5703125" style="812" customWidth="1" collapsed="1"/>
    <col min="48" max="51" width="7.5703125" style="812" hidden="1" customWidth="1" outlineLevel="1"/>
    <col min="52" max="52" width="7.5703125" style="812" customWidth="1" collapsed="1"/>
    <col min="53" max="56" width="7.5703125" style="812" hidden="1" customWidth="1" outlineLevel="1"/>
    <col min="57" max="57" width="7.5703125" style="812" customWidth="1" collapsed="1"/>
    <col min="58" max="62" width="7.5703125" style="812" customWidth="1"/>
    <col min="63" max="16384" width="9.42578125" style="812"/>
  </cols>
  <sheetData>
    <row r="2" spans="2:62" ht="15.75">
      <c r="B2" s="811" t="str">
        <f>names!$A208</f>
        <v>Konsumpcja paliw 1)</v>
      </c>
    </row>
    <row r="3" spans="2:62" s="814" customFormat="1" ht="10.15" customHeight="1">
      <c r="B3" s="813"/>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c r="AM3" s="813"/>
      <c r="AN3" s="813"/>
      <c r="AO3" s="813"/>
      <c r="AP3" s="813"/>
      <c r="AQ3" s="813"/>
      <c r="AR3" s="813"/>
      <c r="AS3" s="813"/>
      <c r="AT3" s="813"/>
      <c r="AU3" s="813"/>
      <c r="AV3" s="813"/>
      <c r="AW3" s="813"/>
      <c r="AX3" s="813"/>
      <c r="AY3" s="813"/>
      <c r="AZ3" s="813"/>
      <c r="BA3" s="813"/>
      <c r="BB3" s="813"/>
      <c r="BC3" s="813"/>
      <c r="BD3" s="813"/>
      <c r="BE3" s="813"/>
      <c r="BF3" s="813"/>
      <c r="BG3" s="813"/>
      <c r="BH3" s="813"/>
      <c r="BI3" s="813"/>
      <c r="BJ3" s="813"/>
    </row>
    <row r="4" spans="2:62" s="816" customFormat="1" ht="33.75" customHeight="1">
      <c r="B4" s="815" t="str">
        <f>names!$A210</f>
        <v>Kraje, 
tys. ton</v>
      </c>
      <c r="C4" s="15" t="str">
        <f>names!$A114</f>
        <v>I kw.
2013</v>
      </c>
      <c r="D4" s="15" t="str">
        <f>names!$A115</f>
        <v>II kw.
2013</v>
      </c>
      <c r="E4" s="15" t="str">
        <f>names!$A116</f>
        <v>III kw.
2013</v>
      </c>
      <c r="F4" s="15" t="str">
        <f>names!$A117</f>
        <v>IV kw.
2013</v>
      </c>
      <c r="G4" s="15" t="str">
        <f>names!$A118</f>
        <v>12 m-cy
2013</v>
      </c>
      <c r="H4" s="15" t="str">
        <f>names!$A119</f>
        <v>I kw.
2014</v>
      </c>
      <c r="I4" s="15" t="str">
        <f>names!$A120</f>
        <v>II kw.
2014</v>
      </c>
      <c r="J4" s="15" t="str">
        <f>names!$A121</f>
        <v>III kw.
2014</v>
      </c>
      <c r="K4" s="15" t="str">
        <f>names!$A122</f>
        <v>IV kw.
2014</v>
      </c>
      <c r="L4" s="15" t="str">
        <f>names!$A123</f>
        <v>12 m-cy
2014</v>
      </c>
      <c r="M4" s="15" t="str">
        <f>names!$A124</f>
        <v>I kw.
2015</v>
      </c>
      <c r="N4" s="15" t="str">
        <f>names!$A125</f>
        <v>II kw.
2015</v>
      </c>
      <c r="O4" s="15" t="str">
        <f>names!$A126</f>
        <v>III kw.
2015</v>
      </c>
      <c r="P4" s="15" t="str">
        <f>names!$A127</f>
        <v>IV kw.
2015</v>
      </c>
      <c r="Q4" s="15" t="str">
        <f>names!$A128</f>
        <v>12 m-cy
2015</v>
      </c>
      <c r="R4" s="15" t="str">
        <f>names!$A129</f>
        <v>I kw.
2016</v>
      </c>
      <c r="S4" s="15" t="str">
        <f>names!$A130</f>
        <v>II kw.
2016</v>
      </c>
      <c r="T4" s="15" t="str">
        <f>names!$A131</f>
        <v>III kw.
2016</v>
      </c>
      <c r="U4" s="15" t="str">
        <f>names!$A132</f>
        <v>IV kw.
2016</v>
      </c>
      <c r="V4" s="15" t="str">
        <f>names!$A133</f>
        <v>12 m-cy
2016</v>
      </c>
      <c r="W4" s="15" t="str">
        <f>names!$A134</f>
        <v>I kw.
2017</v>
      </c>
      <c r="X4" s="15" t="str">
        <f>names!$A135</f>
        <v>II kw.
2017</v>
      </c>
      <c r="Y4" s="15" t="str">
        <f>names!$A136</f>
        <v>III kw.
2017</v>
      </c>
      <c r="Z4" s="15" t="str">
        <f>names!$A137</f>
        <v>IV kw.
2017</v>
      </c>
      <c r="AA4" s="15" t="str">
        <f>names!$A138</f>
        <v>12 m-cy
2017</v>
      </c>
      <c r="AB4" s="15" t="str">
        <f>names!$A139</f>
        <v>I kw.
2018</v>
      </c>
      <c r="AC4" s="15" t="str">
        <f>names!$A140</f>
        <v>II kw.
2018</v>
      </c>
      <c r="AD4" s="15" t="str">
        <f>names!$A141</f>
        <v>III kw.
2018</v>
      </c>
      <c r="AE4" s="15" t="str">
        <f>names!$A142</f>
        <v>IV kw.
2018</v>
      </c>
      <c r="AF4" s="15" t="str">
        <f>names!$A143</f>
        <v>12 m-cy
2018</v>
      </c>
      <c r="AG4" s="15" t="str">
        <f>names!$A531</f>
        <v>I kw.
2019</v>
      </c>
      <c r="AH4" s="15" t="str">
        <f>names!$A532</f>
        <v>II kw.
2019</v>
      </c>
      <c r="AI4" s="15" t="str">
        <f>names!$A533</f>
        <v>III kw.
2019</v>
      </c>
      <c r="AJ4" s="15" t="str">
        <f>names!$A534</f>
        <v>IV kw.
2019</v>
      </c>
      <c r="AK4" s="15" t="str">
        <f>names!$A535</f>
        <v>12 m-cy
2019</v>
      </c>
      <c r="AL4" s="372" t="str">
        <f>names!$A149</f>
        <v>I kw. 
2020</v>
      </c>
      <c r="AM4" s="372" t="str">
        <f>names!$A150</f>
        <v>II kw. 
2020</v>
      </c>
      <c r="AN4" s="372" t="str">
        <f>names!$A151</f>
        <v>III kw. 
2020</v>
      </c>
      <c r="AO4" s="372" t="str">
        <f>names!$A152</f>
        <v>IV kw. 
2020</v>
      </c>
      <c r="AP4" s="372" t="str">
        <f>names!$A153</f>
        <v>12 m-cy 2020</v>
      </c>
      <c r="AQ4" s="372" t="str">
        <f>names!$A154</f>
        <v>I kw. 
2021</v>
      </c>
      <c r="AR4" s="372" t="str">
        <f>names!$A155</f>
        <v>II kw. 
2021</v>
      </c>
      <c r="AS4" s="372" t="str">
        <f>names!$A156</f>
        <v>III kw. 
2021</v>
      </c>
      <c r="AT4" s="372" t="str">
        <f>names!$A157</f>
        <v>IV kw. 
2021</v>
      </c>
      <c r="AU4" s="372" t="str">
        <f>names!$A158</f>
        <v>12 m-cy 2021</v>
      </c>
      <c r="AV4" s="372" t="str">
        <f>names!$A159</f>
        <v>I kw. 
2022</v>
      </c>
      <c r="AW4" s="372" t="str">
        <f>names!$A160</f>
        <v>II kw. 
2022</v>
      </c>
      <c r="AX4" s="372" t="str">
        <f>names!$A161</f>
        <v>III kw. 
2022</v>
      </c>
      <c r="AY4" s="372" t="str">
        <f>names!$A162</f>
        <v>IV kw. 
2022</v>
      </c>
      <c r="AZ4" s="372" t="str">
        <f>names!$A163</f>
        <v>12 m-cy 2022</v>
      </c>
      <c r="BA4" s="372" t="str">
        <f>names!$A164</f>
        <v>I kw. 
2023</v>
      </c>
      <c r="BB4" s="372" t="str">
        <f>names!$A165</f>
        <v>II kw. 
2023</v>
      </c>
      <c r="BC4" s="372" t="str">
        <f>names!$A166</f>
        <v>III kw. 
2023</v>
      </c>
      <c r="BD4" s="372" t="str">
        <f>names!$A167</f>
        <v>IV kw. 
2023</v>
      </c>
      <c r="BE4" s="372" t="str">
        <f>names!$A168</f>
        <v>12 m-cy 2023</v>
      </c>
      <c r="BF4" s="372" t="str">
        <f>names!$A169</f>
        <v>I kw. 
2024</v>
      </c>
      <c r="BG4" s="372" t="str">
        <f>names!$A170</f>
        <v>II kw. 
2024</v>
      </c>
      <c r="BH4" s="372" t="str">
        <f>names!$A171</f>
        <v>III kw. 
2024</v>
      </c>
      <c r="BI4" s="372" t="str">
        <f>names!$A172</f>
        <v>IV kw. 
2024</v>
      </c>
      <c r="BJ4" s="372" t="str">
        <f>names!$A173</f>
        <v>12 m-cy 2024</v>
      </c>
    </row>
    <row r="5" spans="2:62" s="818" customFormat="1" ht="8.25" customHeight="1">
      <c r="B5" s="817"/>
      <c r="C5" s="817"/>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row>
    <row r="6" spans="2:62">
      <c r="B6" s="819" t="str">
        <f>names!$A212</f>
        <v>Polska</v>
      </c>
      <c r="C6" s="820">
        <f>C7+C8</f>
        <v>3271</v>
      </c>
      <c r="D6" s="820">
        <f>D7+D8</f>
        <v>3692</v>
      </c>
      <c r="E6" s="820">
        <f>E7+E8</f>
        <v>3986</v>
      </c>
      <c r="F6" s="820">
        <f>F7+F8</f>
        <v>3710</v>
      </c>
      <c r="G6" s="821">
        <f>C6+D6+E6+F6</f>
        <v>14659</v>
      </c>
      <c r="H6" s="820">
        <f>H7+H8</f>
        <v>3322</v>
      </c>
      <c r="I6" s="820">
        <f>I7+I8</f>
        <v>3684</v>
      </c>
      <c r="J6" s="820">
        <f>J7+J8</f>
        <v>3932</v>
      </c>
      <c r="K6" s="820">
        <f>K7+K8</f>
        <v>3703</v>
      </c>
      <c r="L6" s="821">
        <f>H6+I6+J6+K6</f>
        <v>14641</v>
      </c>
      <c r="M6" s="820">
        <f>M7+M8</f>
        <v>3519</v>
      </c>
      <c r="N6" s="820">
        <f>N7+N8</f>
        <v>3929</v>
      </c>
      <c r="O6" s="820">
        <f>O7+O8</f>
        <v>4146</v>
      </c>
      <c r="P6" s="820">
        <f>P7+P8</f>
        <v>3928</v>
      </c>
      <c r="Q6" s="821">
        <f>M6+N6+O6+P6</f>
        <v>15522</v>
      </c>
      <c r="R6" s="820">
        <f>R7+R8</f>
        <v>3712</v>
      </c>
      <c r="S6" s="820">
        <f>S7+S8</f>
        <v>4094</v>
      </c>
      <c r="T6" s="820">
        <f>T7+T8</f>
        <v>4814</v>
      </c>
      <c r="U6" s="820">
        <f>U7+U8</f>
        <v>4709</v>
      </c>
      <c r="V6" s="821">
        <f>R6+S6+T6+U6</f>
        <v>17329</v>
      </c>
      <c r="W6" s="820">
        <f>W7+W8</f>
        <v>4559</v>
      </c>
      <c r="X6" s="820">
        <f>X7+X8</f>
        <v>5110</v>
      </c>
      <c r="Y6" s="820">
        <f>Y7+Y8</f>
        <v>5486</v>
      </c>
      <c r="Z6" s="820">
        <f>Z7+Z8</f>
        <v>5215</v>
      </c>
      <c r="AA6" s="821">
        <f>W6+X6+Y6+Z6</f>
        <v>20370</v>
      </c>
      <c r="AB6" s="820">
        <f>AB7+AB8</f>
        <v>4845</v>
      </c>
      <c r="AC6" s="820">
        <f>AC7+AC8</f>
        <v>5376</v>
      </c>
      <c r="AD6" s="820">
        <f>AD7+AD8</f>
        <v>5703</v>
      </c>
      <c r="AE6" s="820">
        <f>AE7+AE8</f>
        <v>5446</v>
      </c>
      <c r="AF6" s="821">
        <f>AB6+AC6+AD6+AE6</f>
        <v>21370</v>
      </c>
      <c r="AG6" s="820">
        <f>AG7+AG8</f>
        <v>4985</v>
      </c>
      <c r="AH6" s="820">
        <f>AH7+AH8</f>
        <v>5606</v>
      </c>
      <c r="AI6" s="820">
        <f>AI7+AI8</f>
        <v>5955</v>
      </c>
      <c r="AJ6" s="820">
        <f>AJ7+AJ8</f>
        <v>5623</v>
      </c>
      <c r="AK6" s="821">
        <f>AG6+AH6+AI6+AJ6</f>
        <v>22169</v>
      </c>
      <c r="AL6" s="820">
        <f>AL7+AL8</f>
        <v>5065</v>
      </c>
      <c r="AM6" s="820">
        <f>AM7+AM8</f>
        <v>4871</v>
      </c>
      <c r="AN6" s="820">
        <f>AN7+AN8</f>
        <v>5884</v>
      </c>
      <c r="AO6" s="820">
        <f>AO7+AO8</f>
        <v>5449</v>
      </c>
      <c r="AP6" s="821">
        <f>AL6+AM6+AN6+AO6</f>
        <v>21269</v>
      </c>
      <c r="AQ6" s="820">
        <f>AQ7+AQ8</f>
        <v>4982</v>
      </c>
      <c r="AR6" s="820">
        <f>AR7+AR8</f>
        <v>5685</v>
      </c>
      <c r="AS6" s="820">
        <f>AS7+AS8</f>
        <v>6372</v>
      </c>
      <c r="AT6" s="820">
        <f>AT7+AT8</f>
        <v>6006</v>
      </c>
      <c r="AU6" s="821">
        <f>AQ6+AR6+AS6+AT6</f>
        <v>23045</v>
      </c>
      <c r="AV6" s="820">
        <f>AV7+AV8</f>
        <v>5659</v>
      </c>
      <c r="AW6" s="820">
        <f>AW7+AW8</f>
        <v>5879</v>
      </c>
      <c r="AX6" s="820">
        <f>AX7+AX8</f>
        <v>6082</v>
      </c>
      <c r="AY6" s="820">
        <f>AY7+AY8</f>
        <v>5880</v>
      </c>
      <c r="AZ6" s="821">
        <f>AV6+AW6+AX6+AY6</f>
        <v>23500</v>
      </c>
      <c r="BA6" s="820">
        <f t="shared" ref="BA6:BI6" si="0">BA7+BA8</f>
        <v>5327</v>
      </c>
      <c r="BB6" s="820">
        <f t="shared" si="0"/>
        <v>5948.7</v>
      </c>
      <c r="BC6" s="820">
        <f t="shared" si="0"/>
        <v>6666.4000000000005</v>
      </c>
      <c r="BD6" s="820">
        <f t="shared" si="0"/>
        <v>6262</v>
      </c>
      <c r="BE6" s="821">
        <f>BA6+BB6+BC6+BD6</f>
        <v>24204.100000000002</v>
      </c>
      <c r="BF6" s="820">
        <f t="shared" si="0"/>
        <v>5688.2000000000007</v>
      </c>
      <c r="BG6" s="820">
        <f t="shared" si="0"/>
        <v>6226</v>
      </c>
      <c r="BH6" s="820">
        <f t="shared" si="0"/>
        <v>6550.8000000000011</v>
      </c>
      <c r="BI6" s="820">
        <f t="shared" si="0"/>
        <v>6273</v>
      </c>
      <c r="BJ6" s="821">
        <f>BF6+BG6+BH6+BI6</f>
        <v>24738</v>
      </c>
    </row>
    <row r="7" spans="2:62" s="827" customFormat="1" ht="11.25" customHeight="1">
      <c r="B7" s="822" t="str">
        <f>names!$A213</f>
        <v>Benzyny</v>
      </c>
      <c r="C7" s="823">
        <v>807</v>
      </c>
      <c r="D7" s="823">
        <v>936</v>
      </c>
      <c r="E7" s="823">
        <v>986</v>
      </c>
      <c r="F7" s="823">
        <v>904</v>
      </c>
      <c r="G7" s="824">
        <f>C7+D7+E7+F7</f>
        <v>3633</v>
      </c>
      <c r="H7" s="823">
        <v>812</v>
      </c>
      <c r="I7" s="823">
        <v>942</v>
      </c>
      <c r="J7" s="823">
        <v>975</v>
      </c>
      <c r="K7" s="823">
        <v>924</v>
      </c>
      <c r="L7" s="824">
        <f>H7+I7+J7+K7</f>
        <v>3653</v>
      </c>
      <c r="M7" s="823">
        <v>841</v>
      </c>
      <c r="N7" s="823">
        <v>971</v>
      </c>
      <c r="O7" s="823">
        <v>994</v>
      </c>
      <c r="P7" s="823">
        <v>956</v>
      </c>
      <c r="Q7" s="824">
        <f>M7+N7+O7+P7</f>
        <v>3762</v>
      </c>
      <c r="R7" s="823">
        <v>889</v>
      </c>
      <c r="S7" s="823">
        <v>1021</v>
      </c>
      <c r="T7" s="823">
        <v>1098</v>
      </c>
      <c r="U7" s="823">
        <v>1020</v>
      </c>
      <c r="V7" s="824">
        <f>R7+S7+T7+U7</f>
        <v>4028</v>
      </c>
      <c r="W7" s="823">
        <v>963</v>
      </c>
      <c r="X7" s="823">
        <v>1111</v>
      </c>
      <c r="Y7" s="823">
        <v>1170</v>
      </c>
      <c r="Z7" s="823">
        <v>1102</v>
      </c>
      <c r="AA7" s="824">
        <f>W7+X7+Y7+Z7</f>
        <v>4346</v>
      </c>
      <c r="AB7" s="823">
        <v>1018</v>
      </c>
      <c r="AC7" s="823">
        <v>1151</v>
      </c>
      <c r="AD7" s="823">
        <v>1207</v>
      </c>
      <c r="AE7" s="823">
        <v>1145</v>
      </c>
      <c r="AF7" s="824">
        <f>AB7+AC7+AD7+AE7</f>
        <v>4521</v>
      </c>
      <c r="AG7" s="823">
        <v>1045</v>
      </c>
      <c r="AH7" s="823">
        <v>1215</v>
      </c>
      <c r="AI7" s="823">
        <v>1277</v>
      </c>
      <c r="AJ7" s="823">
        <v>1199</v>
      </c>
      <c r="AK7" s="824">
        <f>AG7+AH7+AI7+AJ7</f>
        <v>4736</v>
      </c>
      <c r="AL7" s="823">
        <v>1039</v>
      </c>
      <c r="AM7" s="823">
        <v>968</v>
      </c>
      <c r="AN7" s="823">
        <v>1284</v>
      </c>
      <c r="AO7" s="823">
        <v>1099</v>
      </c>
      <c r="AP7" s="824">
        <f>AL7+AM7+AN7+AO7</f>
        <v>4390</v>
      </c>
      <c r="AQ7" s="823">
        <v>1003</v>
      </c>
      <c r="AR7" s="823">
        <v>1222</v>
      </c>
      <c r="AS7" s="823">
        <v>1378</v>
      </c>
      <c r="AT7" s="823">
        <v>1227</v>
      </c>
      <c r="AU7" s="824">
        <f>AQ7+AR7+AS7+AT7</f>
        <v>4830</v>
      </c>
      <c r="AV7" s="823">
        <v>1192</v>
      </c>
      <c r="AW7" s="823">
        <v>1352</v>
      </c>
      <c r="AX7" s="823">
        <v>1324</v>
      </c>
      <c r="AY7" s="823">
        <v>1305</v>
      </c>
      <c r="AZ7" s="824">
        <f>AV7+AW7+AX7+AY7</f>
        <v>5173</v>
      </c>
      <c r="BA7" s="825">
        <v>1173.1000000000001</v>
      </c>
      <c r="BB7" s="825">
        <v>1390</v>
      </c>
      <c r="BC7" s="825">
        <v>1485.1000000000001</v>
      </c>
      <c r="BD7" s="825">
        <v>1348.8000000000002</v>
      </c>
      <c r="BE7" s="826">
        <f>BA7+BB7+BC7+BD7</f>
        <v>5397.0000000000009</v>
      </c>
      <c r="BF7" s="825">
        <v>1268.8</v>
      </c>
      <c r="BG7" s="825">
        <v>1488.6</v>
      </c>
      <c r="BH7" s="825">
        <v>1528.6000000000004</v>
      </c>
      <c r="BI7" s="825">
        <v>1419.1</v>
      </c>
      <c r="BJ7" s="826">
        <f>BF7+BG7+BH7+BI7</f>
        <v>5705.1</v>
      </c>
    </row>
    <row r="8" spans="2:62" s="827" customFormat="1" ht="11.25" customHeight="1">
      <c r="B8" s="822" t="str">
        <f>names!$A214</f>
        <v>ON</v>
      </c>
      <c r="C8" s="823">
        <v>2464</v>
      </c>
      <c r="D8" s="823">
        <v>2756</v>
      </c>
      <c r="E8" s="823">
        <v>3000</v>
      </c>
      <c r="F8" s="823">
        <v>2806</v>
      </c>
      <c r="G8" s="824">
        <f t="shared" ref="G8:G17" si="1">C8+D8+E8+F8</f>
        <v>11026</v>
      </c>
      <c r="H8" s="823">
        <v>2510</v>
      </c>
      <c r="I8" s="823">
        <v>2742</v>
      </c>
      <c r="J8" s="823">
        <v>2957</v>
      </c>
      <c r="K8" s="823">
        <v>2779</v>
      </c>
      <c r="L8" s="824">
        <f t="shared" ref="L8:L17" si="2">H8+I8+J8+K8</f>
        <v>10988</v>
      </c>
      <c r="M8" s="823">
        <v>2678</v>
      </c>
      <c r="N8" s="823">
        <v>2958</v>
      </c>
      <c r="O8" s="823">
        <v>3152</v>
      </c>
      <c r="P8" s="823">
        <v>2972</v>
      </c>
      <c r="Q8" s="824">
        <f t="shared" ref="Q8:Q17" si="3">M8+N8+O8+P8</f>
        <v>11760</v>
      </c>
      <c r="R8" s="823">
        <v>2823</v>
      </c>
      <c r="S8" s="823">
        <v>3073</v>
      </c>
      <c r="T8" s="823">
        <v>3716</v>
      </c>
      <c r="U8" s="823">
        <v>3689</v>
      </c>
      <c r="V8" s="824">
        <f t="shared" ref="V8:V17" si="4">R8+S8+T8+U8</f>
        <v>13301</v>
      </c>
      <c r="W8" s="823">
        <v>3596</v>
      </c>
      <c r="X8" s="823">
        <v>3999</v>
      </c>
      <c r="Y8" s="823">
        <v>4316</v>
      </c>
      <c r="Z8" s="823">
        <v>4113</v>
      </c>
      <c r="AA8" s="824">
        <f t="shared" ref="AA8:AA17" si="5">W8+X8+Y8+Z8</f>
        <v>16024</v>
      </c>
      <c r="AB8" s="823">
        <v>3827</v>
      </c>
      <c r="AC8" s="823">
        <v>4225</v>
      </c>
      <c r="AD8" s="823">
        <v>4496</v>
      </c>
      <c r="AE8" s="823">
        <v>4301</v>
      </c>
      <c r="AF8" s="824">
        <f t="shared" ref="AF8:AF17" si="6">AB8+AC8+AD8+AE8</f>
        <v>16849</v>
      </c>
      <c r="AG8" s="823">
        <v>3940</v>
      </c>
      <c r="AH8" s="823">
        <v>4391</v>
      </c>
      <c r="AI8" s="823">
        <v>4678</v>
      </c>
      <c r="AJ8" s="823">
        <v>4424</v>
      </c>
      <c r="AK8" s="824">
        <f t="shared" ref="AK8:AK17" si="7">AG8+AH8+AI8+AJ8</f>
        <v>17433</v>
      </c>
      <c r="AL8" s="823">
        <v>4026</v>
      </c>
      <c r="AM8" s="823">
        <v>3903</v>
      </c>
      <c r="AN8" s="823">
        <v>4600</v>
      </c>
      <c r="AO8" s="823">
        <v>4350</v>
      </c>
      <c r="AP8" s="824">
        <f t="shared" ref="AP8:AP17" si="8">AL8+AM8+AN8+AO8</f>
        <v>16879</v>
      </c>
      <c r="AQ8" s="823">
        <v>3979</v>
      </c>
      <c r="AR8" s="823">
        <v>4463</v>
      </c>
      <c r="AS8" s="823">
        <v>4994</v>
      </c>
      <c r="AT8" s="823">
        <v>4779</v>
      </c>
      <c r="AU8" s="824">
        <f t="shared" ref="AU8:AU17" si="9">AQ8+AR8+AS8+AT8</f>
        <v>18215</v>
      </c>
      <c r="AV8" s="823">
        <v>4467</v>
      </c>
      <c r="AW8" s="823">
        <v>4527</v>
      </c>
      <c r="AX8" s="823">
        <v>4758</v>
      </c>
      <c r="AY8" s="823">
        <v>4575</v>
      </c>
      <c r="AZ8" s="824">
        <f t="shared" ref="AZ8:AZ23" si="10">AV8+AW8+AX8+AY8</f>
        <v>18327</v>
      </c>
      <c r="BA8" s="825">
        <v>4153.8999999999996</v>
      </c>
      <c r="BB8" s="825">
        <v>4558.7</v>
      </c>
      <c r="BC8" s="825">
        <v>5181.3</v>
      </c>
      <c r="BD8" s="825">
        <v>4913.2</v>
      </c>
      <c r="BE8" s="826">
        <f t="shared" ref="BE8:BE26" si="11">BA8+BB8+BC8+BD8</f>
        <v>18807.099999999999</v>
      </c>
      <c r="BF8" s="825">
        <v>4419.4000000000005</v>
      </c>
      <c r="BG8" s="825">
        <v>4737.3999999999996</v>
      </c>
      <c r="BH8" s="825">
        <v>5022.2000000000007</v>
      </c>
      <c r="BI8" s="825">
        <v>4853.9000000000005</v>
      </c>
      <c r="BJ8" s="826">
        <f t="shared" ref="BJ8:BJ26" si="12">BF8+BG8+BH8+BI8</f>
        <v>19032.900000000001</v>
      </c>
    </row>
    <row r="9" spans="2:62">
      <c r="B9" s="819" t="str">
        <f>names!$A215</f>
        <v>Litwa</v>
      </c>
      <c r="C9" s="820">
        <f>C10+C11</f>
        <v>250.8</v>
      </c>
      <c r="D9" s="820">
        <f>D10+D11</f>
        <v>350.6</v>
      </c>
      <c r="E9" s="820">
        <f>E10+E11</f>
        <v>381.3</v>
      </c>
      <c r="F9" s="820">
        <f>F10+F11</f>
        <v>320.2</v>
      </c>
      <c r="G9" s="821">
        <f t="shared" si="1"/>
        <v>1302.9000000000001</v>
      </c>
      <c r="H9" s="820">
        <f>H10+H11</f>
        <v>303.19999999999987</v>
      </c>
      <c r="I9" s="820">
        <f>I10+I11</f>
        <v>373.20000000000027</v>
      </c>
      <c r="J9" s="820">
        <f>J10+J11</f>
        <v>412.69999999999982</v>
      </c>
      <c r="K9" s="820">
        <f>K10+K11</f>
        <v>377.60000000000031</v>
      </c>
      <c r="L9" s="821">
        <f t="shared" si="2"/>
        <v>1466.7000000000003</v>
      </c>
      <c r="M9" s="820">
        <f>M10+M11</f>
        <v>315.40000000000038</v>
      </c>
      <c r="N9" s="820">
        <f>N10+N11</f>
        <v>401.9999999999996</v>
      </c>
      <c r="O9" s="820">
        <f>O10+O11</f>
        <v>412.20000000000005</v>
      </c>
      <c r="P9" s="820">
        <f>P10+P11</f>
        <v>362.90000000000038</v>
      </c>
      <c r="Q9" s="821">
        <f t="shared" si="3"/>
        <v>1492.5000000000002</v>
      </c>
      <c r="R9" s="820">
        <f>R10+R11</f>
        <v>322.49999999999983</v>
      </c>
      <c r="S9" s="820">
        <f>S10+S11</f>
        <v>477.59999999999974</v>
      </c>
      <c r="T9" s="820">
        <f>T10+T11</f>
        <v>471.00000000000028</v>
      </c>
      <c r="U9" s="820">
        <f>U10+U11</f>
        <v>373.80000000000047</v>
      </c>
      <c r="V9" s="821">
        <f t="shared" si="4"/>
        <v>1644.9000000000003</v>
      </c>
      <c r="W9" s="820">
        <f>W10+W11</f>
        <v>361.29999999999973</v>
      </c>
      <c r="X9" s="820">
        <f>X10+X11</f>
        <v>443.90000000000032</v>
      </c>
      <c r="Y9" s="820">
        <f>Y10+Y11</f>
        <v>475.80000000000013</v>
      </c>
      <c r="Z9" s="820">
        <f>Z10+Z11</f>
        <v>467.60000000000019</v>
      </c>
      <c r="AA9" s="821">
        <f t="shared" si="5"/>
        <v>1748.6000000000004</v>
      </c>
      <c r="AB9" s="820">
        <f>AB10+AB11</f>
        <v>392.29999999999995</v>
      </c>
      <c r="AC9" s="820">
        <f>AC10+AC11</f>
        <v>516.20000000000005</v>
      </c>
      <c r="AD9" s="820">
        <f>AD10+AD11</f>
        <v>539.6</v>
      </c>
      <c r="AE9" s="820">
        <f>AE10+AE11</f>
        <v>454.09999999999997</v>
      </c>
      <c r="AF9" s="821">
        <f t="shared" si="6"/>
        <v>1902.1999999999998</v>
      </c>
      <c r="AG9" s="820">
        <f>AG10+AG11</f>
        <v>408.29999999999995</v>
      </c>
      <c r="AH9" s="820">
        <f>AH10+AH11</f>
        <v>522.1</v>
      </c>
      <c r="AI9" s="820">
        <f>AI10+AI11</f>
        <v>543</v>
      </c>
      <c r="AJ9" s="820">
        <f>AJ10+AJ11</f>
        <v>497.5</v>
      </c>
      <c r="AK9" s="821">
        <f t="shared" si="7"/>
        <v>1970.9</v>
      </c>
      <c r="AL9" s="820">
        <f>AL10+AL11</f>
        <v>418.1</v>
      </c>
      <c r="AM9" s="820">
        <f>AM10+AM11</f>
        <v>498.8</v>
      </c>
      <c r="AN9" s="820">
        <f>AN10+AN11</f>
        <v>577</v>
      </c>
      <c r="AO9" s="820">
        <f>AO10+AO11</f>
        <v>475.8</v>
      </c>
      <c r="AP9" s="821">
        <f t="shared" si="8"/>
        <v>1969.7</v>
      </c>
      <c r="AQ9" s="820">
        <f>AQ10+AQ11</f>
        <v>400.6</v>
      </c>
      <c r="AR9" s="820">
        <f>AR10+AR11</f>
        <v>538</v>
      </c>
      <c r="AS9" s="820">
        <f>AS10+AS11</f>
        <v>595.9</v>
      </c>
      <c r="AT9" s="820">
        <f>AT10+AT11</f>
        <v>512.20000000000005</v>
      </c>
      <c r="AU9" s="821">
        <f t="shared" si="9"/>
        <v>2046.7</v>
      </c>
      <c r="AV9" s="820">
        <f>AV10+AV11</f>
        <v>426.20000000000005</v>
      </c>
      <c r="AW9" s="820">
        <f>AW10+AW11</f>
        <v>502.20000000000005</v>
      </c>
      <c r="AX9" s="820">
        <f>AX10+AX11</f>
        <v>536.79999999999995</v>
      </c>
      <c r="AY9" s="820">
        <f>AY10+AY11</f>
        <v>485.9</v>
      </c>
      <c r="AZ9" s="821">
        <f t="shared" si="10"/>
        <v>1951.1</v>
      </c>
      <c r="BA9" s="820">
        <f t="shared" ref="BA9:BI9" si="13">BA10+BA11</f>
        <v>427.7</v>
      </c>
      <c r="BB9" s="820">
        <f t="shared" si="13"/>
        <v>547.20000000000005</v>
      </c>
      <c r="BC9" s="820">
        <f t="shared" si="13"/>
        <v>548.5</v>
      </c>
      <c r="BD9" s="820">
        <f t="shared" si="13"/>
        <v>484.7</v>
      </c>
      <c r="BE9" s="821">
        <f t="shared" si="11"/>
        <v>2008.1000000000001</v>
      </c>
      <c r="BF9" s="820">
        <f t="shared" si="13"/>
        <v>433.55721160000002</v>
      </c>
      <c r="BG9" s="820">
        <f t="shared" si="13"/>
        <v>561.6</v>
      </c>
      <c r="BH9" s="820">
        <f t="shared" si="13"/>
        <v>607.9</v>
      </c>
      <c r="BI9" s="820">
        <f t="shared" si="13"/>
        <v>574.47593177115982</v>
      </c>
      <c r="BJ9" s="821">
        <f t="shared" si="12"/>
        <v>2177.5331433711599</v>
      </c>
    </row>
    <row r="10" spans="2:62" s="827" customFormat="1" ht="11.25" customHeight="1">
      <c r="B10" s="822" t="str">
        <f>names!$A216</f>
        <v>Benzyny</v>
      </c>
      <c r="C10" s="823">
        <v>44.3</v>
      </c>
      <c r="D10" s="823">
        <v>56.1</v>
      </c>
      <c r="E10" s="823">
        <v>57.5</v>
      </c>
      <c r="F10" s="823">
        <v>49.800000000000004</v>
      </c>
      <c r="G10" s="824">
        <f t="shared" si="1"/>
        <v>207.70000000000002</v>
      </c>
      <c r="H10" s="823">
        <v>46.000000000000036</v>
      </c>
      <c r="I10" s="823">
        <v>50.399999999999977</v>
      </c>
      <c r="J10" s="823">
        <v>57.399999999999949</v>
      </c>
      <c r="K10" s="823">
        <v>51.499999999999979</v>
      </c>
      <c r="L10" s="824">
        <f t="shared" si="2"/>
        <v>205.29999999999993</v>
      </c>
      <c r="M10" s="823">
        <v>44.000000000000057</v>
      </c>
      <c r="N10" s="823">
        <v>54.3</v>
      </c>
      <c r="O10" s="823">
        <v>58.800000000000033</v>
      </c>
      <c r="P10" s="823">
        <v>48.200000000000067</v>
      </c>
      <c r="Q10" s="824">
        <f t="shared" si="3"/>
        <v>205.30000000000015</v>
      </c>
      <c r="R10" s="823">
        <v>44.699999999999974</v>
      </c>
      <c r="S10" s="823">
        <v>57.59999999999998</v>
      </c>
      <c r="T10" s="823">
        <v>58.199999999999932</v>
      </c>
      <c r="U10" s="823">
        <v>54.39999999999997</v>
      </c>
      <c r="V10" s="824">
        <f t="shared" si="4"/>
        <v>214.89999999999986</v>
      </c>
      <c r="W10" s="823">
        <v>46.70000000000001</v>
      </c>
      <c r="X10" s="823">
        <v>54.600000000000009</v>
      </c>
      <c r="Y10" s="823">
        <v>59.600000000000023</v>
      </c>
      <c r="Z10" s="823">
        <v>53.299999999999905</v>
      </c>
      <c r="AA10" s="824">
        <f t="shared" si="5"/>
        <v>214.19999999999993</v>
      </c>
      <c r="AB10" s="823">
        <v>50.5</v>
      </c>
      <c r="AC10" s="823">
        <v>61.900000000000006</v>
      </c>
      <c r="AD10" s="823">
        <v>65.2</v>
      </c>
      <c r="AE10" s="823">
        <v>56</v>
      </c>
      <c r="AF10" s="824">
        <f t="shared" si="6"/>
        <v>233.60000000000002</v>
      </c>
      <c r="AG10" s="823">
        <v>49.7</v>
      </c>
      <c r="AH10" s="823">
        <v>66.2</v>
      </c>
      <c r="AI10" s="823">
        <v>69.5</v>
      </c>
      <c r="AJ10" s="823">
        <v>61.3</v>
      </c>
      <c r="AK10" s="824">
        <f t="shared" si="7"/>
        <v>246.7</v>
      </c>
      <c r="AL10" s="823">
        <v>50.6</v>
      </c>
      <c r="AM10" s="823">
        <v>67.8</v>
      </c>
      <c r="AN10" s="823">
        <v>78.699999999999989</v>
      </c>
      <c r="AO10" s="823">
        <v>57.2</v>
      </c>
      <c r="AP10" s="824">
        <f t="shared" si="8"/>
        <v>254.3</v>
      </c>
      <c r="AQ10" s="823">
        <v>45.3</v>
      </c>
      <c r="AR10" s="823">
        <v>64.3</v>
      </c>
      <c r="AS10" s="823">
        <v>80.600000000000009</v>
      </c>
      <c r="AT10" s="823">
        <v>66.5</v>
      </c>
      <c r="AU10" s="824">
        <f t="shared" si="9"/>
        <v>256.7</v>
      </c>
      <c r="AV10" s="823">
        <v>60</v>
      </c>
      <c r="AW10" s="823">
        <v>74.400000000000006</v>
      </c>
      <c r="AX10" s="823">
        <v>79</v>
      </c>
      <c r="AY10" s="823">
        <v>68.699999999999989</v>
      </c>
      <c r="AZ10" s="824">
        <f t="shared" si="10"/>
        <v>282.10000000000002</v>
      </c>
      <c r="BA10" s="825">
        <v>64.3</v>
      </c>
      <c r="BB10" s="825">
        <v>83.2</v>
      </c>
      <c r="BC10" s="825">
        <v>84.9</v>
      </c>
      <c r="BD10" s="825">
        <v>75.7</v>
      </c>
      <c r="BE10" s="826">
        <f t="shared" si="11"/>
        <v>308.10000000000002</v>
      </c>
      <c r="BF10" s="825">
        <v>69.757211600000005</v>
      </c>
      <c r="BG10" s="825">
        <v>87.6</v>
      </c>
      <c r="BH10" s="825">
        <v>97.600000000000009</v>
      </c>
      <c r="BI10" s="825">
        <v>83.222000000000008</v>
      </c>
      <c r="BJ10" s="826">
        <f t="shared" si="12"/>
        <v>338.17921160000003</v>
      </c>
    </row>
    <row r="11" spans="2:62" s="827" customFormat="1" ht="11.25" customHeight="1">
      <c r="B11" s="822" t="str">
        <f>names!$A217</f>
        <v>ON</v>
      </c>
      <c r="C11" s="823">
        <v>206.50000000000003</v>
      </c>
      <c r="D11" s="823">
        <v>294.5</v>
      </c>
      <c r="E11" s="823">
        <v>323.8</v>
      </c>
      <c r="F11" s="823">
        <v>270.39999999999998</v>
      </c>
      <c r="G11" s="824">
        <f t="shared" si="1"/>
        <v>1095.1999999999998</v>
      </c>
      <c r="H11" s="823">
        <v>257.19999999999982</v>
      </c>
      <c r="I11" s="823">
        <v>322.8000000000003</v>
      </c>
      <c r="J11" s="823">
        <v>355.2999999999999</v>
      </c>
      <c r="K11" s="823">
        <v>326.10000000000031</v>
      </c>
      <c r="L11" s="824">
        <f t="shared" si="2"/>
        <v>1261.4000000000003</v>
      </c>
      <c r="M11" s="823">
        <v>271.40000000000032</v>
      </c>
      <c r="N11" s="823">
        <v>347.69999999999959</v>
      </c>
      <c r="O11" s="823">
        <v>353.40000000000003</v>
      </c>
      <c r="P11" s="823">
        <v>314.70000000000033</v>
      </c>
      <c r="Q11" s="824">
        <f t="shared" si="3"/>
        <v>1287.2000000000003</v>
      </c>
      <c r="R11" s="823">
        <v>277.79999999999984</v>
      </c>
      <c r="S11" s="823">
        <v>419.99999999999977</v>
      </c>
      <c r="T11" s="823">
        <v>412.80000000000035</v>
      </c>
      <c r="U11" s="823">
        <v>319.40000000000049</v>
      </c>
      <c r="V11" s="824">
        <f t="shared" si="4"/>
        <v>1430.0000000000005</v>
      </c>
      <c r="W11" s="823">
        <v>314.59999999999974</v>
      </c>
      <c r="X11" s="823">
        <v>389.3000000000003</v>
      </c>
      <c r="Y11" s="823">
        <v>416.2000000000001</v>
      </c>
      <c r="Z11" s="823">
        <v>414.3000000000003</v>
      </c>
      <c r="AA11" s="824">
        <f t="shared" si="5"/>
        <v>1534.4000000000005</v>
      </c>
      <c r="AB11" s="823">
        <v>341.79999999999995</v>
      </c>
      <c r="AC11" s="823">
        <v>454.3</v>
      </c>
      <c r="AD11" s="823">
        <v>474.40000000000003</v>
      </c>
      <c r="AE11" s="823">
        <v>398.09999999999997</v>
      </c>
      <c r="AF11" s="824">
        <f t="shared" si="6"/>
        <v>1668.6</v>
      </c>
      <c r="AG11" s="823">
        <v>358.59999999999997</v>
      </c>
      <c r="AH11" s="823">
        <v>455.9</v>
      </c>
      <c r="AI11" s="823">
        <v>473.5</v>
      </c>
      <c r="AJ11" s="823">
        <v>436.2</v>
      </c>
      <c r="AK11" s="824">
        <f t="shared" si="7"/>
        <v>1724.2</v>
      </c>
      <c r="AL11" s="823">
        <v>367.5</v>
      </c>
      <c r="AM11" s="823">
        <v>431</v>
      </c>
      <c r="AN11" s="823">
        <v>498.3</v>
      </c>
      <c r="AO11" s="823">
        <v>418.6</v>
      </c>
      <c r="AP11" s="824">
        <f t="shared" si="8"/>
        <v>1715.4</v>
      </c>
      <c r="AQ11" s="823">
        <v>355.3</v>
      </c>
      <c r="AR11" s="823">
        <v>473.7</v>
      </c>
      <c r="AS11" s="823">
        <v>515.29999999999995</v>
      </c>
      <c r="AT11" s="823">
        <v>445.70000000000005</v>
      </c>
      <c r="AU11" s="824">
        <f t="shared" si="9"/>
        <v>1790</v>
      </c>
      <c r="AV11" s="823">
        <v>366.20000000000005</v>
      </c>
      <c r="AW11" s="823">
        <v>427.8</v>
      </c>
      <c r="AX11" s="823">
        <v>457.8</v>
      </c>
      <c r="AY11" s="823">
        <v>417.2</v>
      </c>
      <c r="AZ11" s="824">
        <f t="shared" si="10"/>
        <v>1669</v>
      </c>
      <c r="BA11" s="825">
        <v>363.4</v>
      </c>
      <c r="BB11" s="825">
        <v>464</v>
      </c>
      <c r="BC11" s="825">
        <v>463.59999999999997</v>
      </c>
      <c r="BD11" s="825">
        <v>409</v>
      </c>
      <c r="BE11" s="826">
        <f t="shared" si="11"/>
        <v>1700</v>
      </c>
      <c r="BF11" s="825">
        <v>363.8</v>
      </c>
      <c r="BG11" s="825">
        <v>474</v>
      </c>
      <c r="BH11" s="825">
        <v>510.3</v>
      </c>
      <c r="BI11" s="825">
        <v>491.25393177115984</v>
      </c>
      <c r="BJ11" s="826">
        <f t="shared" si="12"/>
        <v>1839.3539317711598</v>
      </c>
    </row>
    <row r="12" spans="2:62">
      <c r="B12" s="819" t="str">
        <f>names!$A218</f>
        <v>Czechy</v>
      </c>
      <c r="C12" s="820">
        <f>C13+C14</f>
        <v>1252</v>
      </c>
      <c r="D12" s="820">
        <f>D13+D14</f>
        <v>1442</v>
      </c>
      <c r="E12" s="820">
        <f>E13+E14</f>
        <v>1519</v>
      </c>
      <c r="F12" s="820">
        <f>F13+F14</f>
        <v>1495</v>
      </c>
      <c r="G12" s="821">
        <f t="shared" si="1"/>
        <v>5708</v>
      </c>
      <c r="H12" s="820">
        <f>H13+H14</f>
        <v>1310</v>
      </c>
      <c r="I12" s="820">
        <f>I13+I14</f>
        <v>1492</v>
      </c>
      <c r="J12" s="820">
        <f>J13+J14</f>
        <v>1593</v>
      </c>
      <c r="K12" s="820">
        <f>K13+K14</f>
        <v>1512</v>
      </c>
      <c r="L12" s="821">
        <f t="shared" si="2"/>
        <v>5907</v>
      </c>
      <c r="M12" s="820">
        <f>M13+M14</f>
        <v>1380</v>
      </c>
      <c r="N12" s="820">
        <f>N13+N14</f>
        <v>1548</v>
      </c>
      <c r="O12" s="820">
        <f>O13+O14</f>
        <v>1649</v>
      </c>
      <c r="P12" s="820">
        <f>P13+P14</f>
        <v>1540</v>
      </c>
      <c r="Q12" s="821">
        <f t="shared" si="3"/>
        <v>6117</v>
      </c>
      <c r="R12" s="820">
        <f>R13+R14</f>
        <v>1395</v>
      </c>
      <c r="S12" s="820">
        <f>S13+S14</f>
        <v>1617</v>
      </c>
      <c r="T12" s="820">
        <f>T13+T14</f>
        <v>1715</v>
      </c>
      <c r="U12" s="820">
        <f>U13+U14</f>
        <v>1611</v>
      </c>
      <c r="V12" s="821">
        <f t="shared" si="4"/>
        <v>6338</v>
      </c>
      <c r="W12" s="820">
        <f>W13+W14</f>
        <v>1433</v>
      </c>
      <c r="X12" s="820">
        <f>X13+X14</f>
        <v>1653</v>
      </c>
      <c r="Y12" s="820">
        <f>Y13+Y14</f>
        <v>1744</v>
      </c>
      <c r="Z12" s="820">
        <f>Z13+Z14</f>
        <v>1668</v>
      </c>
      <c r="AA12" s="821">
        <f t="shared" si="5"/>
        <v>6498</v>
      </c>
      <c r="AB12" s="820">
        <f>AB13+AB14</f>
        <v>1475</v>
      </c>
      <c r="AC12" s="820">
        <f>AC13+AC14</f>
        <v>1697</v>
      </c>
      <c r="AD12" s="820">
        <f>AD13+AD14</f>
        <v>1712</v>
      </c>
      <c r="AE12" s="820">
        <f>AE13+AE14</f>
        <v>1675</v>
      </c>
      <c r="AF12" s="821">
        <f t="shared" si="6"/>
        <v>6559</v>
      </c>
      <c r="AG12" s="820">
        <f>AG13+AG14</f>
        <v>1512</v>
      </c>
      <c r="AH12" s="820">
        <f>AH13+AH14</f>
        <v>1705</v>
      </c>
      <c r="AI12" s="820">
        <f>AI13+AI14</f>
        <v>1757</v>
      </c>
      <c r="AJ12" s="820">
        <f>AJ13+AJ14</f>
        <v>1667</v>
      </c>
      <c r="AK12" s="821">
        <f t="shared" si="7"/>
        <v>6641</v>
      </c>
      <c r="AL12" s="820">
        <f>AL13+AL14</f>
        <v>1464</v>
      </c>
      <c r="AM12" s="820">
        <f>AM13+AM14</f>
        <v>1487</v>
      </c>
      <c r="AN12" s="820">
        <f>AN13+AN14</f>
        <v>1766</v>
      </c>
      <c r="AO12" s="820">
        <f>AO13+AO14</f>
        <v>1540</v>
      </c>
      <c r="AP12" s="821">
        <f t="shared" si="8"/>
        <v>6257</v>
      </c>
      <c r="AQ12" s="820">
        <f>AQ13+AQ14</f>
        <v>1365</v>
      </c>
      <c r="AR12" s="820">
        <f>AR13+AR14</f>
        <v>1647</v>
      </c>
      <c r="AS12" s="820">
        <f>AS13+AS14</f>
        <v>1887</v>
      </c>
      <c r="AT12" s="820">
        <f>AT13+AT14</f>
        <v>1729</v>
      </c>
      <c r="AU12" s="821">
        <f t="shared" si="9"/>
        <v>6628</v>
      </c>
      <c r="AV12" s="820">
        <f>AV13+AV14</f>
        <v>1599</v>
      </c>
      <c r="AW12" s="820">
        <f>AW13+AW14</f>
        <v>1683</v>
      </c>
      <c r="AX12" s="820">
        <f>AX13+AX14</f>
        <v>1730</v>
      </c>
      <c r="AY12" s="820">
        <f>AY13+AY14</f>
        <v>1751</v>
      </c>
      <c r="AZ12" s="821">
        <f t="shared" si="10"/>
        <v>6763</v>
      </c>
      <c r="BA12" s="820">
        <f t="shared" ref="BA12:BI12" si="14">BA13+BA14</f>
        <v>1589</v>
      </c>
      <c r="BB12" s="820">
        <f t="shared" si="14"/>
        <v>1794</v>
      </c>
      <c r="BC12" s="820">
        <f t="shared" si="14"/>
        <v>1814</v>
      </c>
      <c r="BD12" s="820">
        <f t="shared" si="14"/>
        <v>1685</v>
      </c>
      <c r="BE12" s="821">
        <f t="shared" si="11"/>
        <v>6882</v>
      </c>
      <c r="BF12" s="820">
        <f t="shared" si="14"/>
        <v>1636</v>
      </c>
      <c r="BG12" s="820">
        <f t="shared" si="14"/>
        <v>1827</v>
      </c>
      <c r="BH12" s="820">
        <f t="shared" si="14"/>
        <v>1898</v>
      </c>
      <c r="BI12" s="820">
        <f t="shared" si="14"/>
        <v>1795.14420050182</v>
      </c>
      <c r="BJ12" s="821">
        <f t="shared" si="12"/>
        <v>7156.1442005018198</v>
      </c>
    </row>
    <row r="13" spans="2:62" s="827" customFormat="1" ht="11.25" customHeight="1">
      <c r="B13" s="822" t="str">
        <f>names!$A219</f>
        <v>Benzyny</v>
      </c>
      <c r="C13" s="823">
        <v>352</v>
      </c>
      <c r="D13" s="823">
        <v>405</v>
      </c>
      <c r="E13" s="823">
        <v>414</v>
      </c>
      <c r="F13" s="823">
        <v>399</v>
      </c>
      <c r="G13" s="824">
        <f t="shared" si="1"/>
        <v>1570</v>
      </c>
      <c r="H13" s="823">
        <v>350</v>
      </c>
      <c r="I13" s="823">
        <v>411</v>
      </c>
      <c r="J13" s="823">
        <v>418</v>
      </c>
      <c r="K13" s="823">
        <v>391</v>
      </c>
      <c r="L13" s="824">
        <f t="shared" si="2"/>
        <v>1570</v>
      </c>
      <c r="M13" s="823">
        <v>352</v>
      </c>
      <c r="N13" s="823">
        <v>413</v>
      </c>
      <c r="O13" s="823">
        <v>419</v>
      </c>
      <c r="P13" s="823">
        <v>392</v>
      </c>
      <c r="Q13" s="824">
        <f t="shared" si="3"/>
        <v>1576</v>
      </c>
      <c r="R13" s="823">
        <v>354</v>
      </c>
      <c r="S13" s="823">
        <v>418</v>
      </c>
      <c r="T13" s="823">
        <v>432</v>
      </c>
      <c r="U13" s="823">
        <v>401</v>
      </c>
      <c r="V13" s="824">
        <f t="shared" si="4"/>
        <v>1605</v>
      </c>
      <c r="W13" s="823">
        <v>352</v>
      </c>
      <c r="X13" s="823">
        <v>416</v>
      </c>
      <c r="Y13" s="823">
        <v>434</v>
      </c>
      <c r="Z13" s="823">
        <v>399</v>
      </c>
      <c r="AA13" s="824">
        <f t="shared" si="5"/>
        <v>1601</v>
      </c>
      <c r="AB13" s="823">
        <v>352</v>
      </c>
      <c r="AC13" s="823">
        <v>430</v>
      </c>
      <c r="AD13" s="823">
        <v>420</v>
      </c>
      <c r="AE13" s="823">
        <v>403</v>
      </c>
      <c r="AF13" s="824">
        <f t="shared" si="6"/>
        <v>1605</v>
      </c>
      <c r="AG13" s="823">
        <v>358</v>
      </c>
      <c r="AH13" s="823">
        <v>428</v>
      </c>
      <c r="AI13" s="823">
        <v>429</v>
      </c>
      <c r="AJ13" s="823">
        <v>401</v>
      </c>
      <c r="AK13" s="824">
        <f t="shared" si="7"/>
        <v>1616</v>
      </c>
      <c r="AL13" s="823">
        <v>342</v>
      </c>
      <c r="AM13" s="823">
        <v>350</v>
      </c>
      <c r="AN13" s="823">
        <v>446</v>
      </c>
      <c r="AO13" s="823">
        <v>330</v>
      </c>
      <c r="AP13" s="824">
        <f t="shared" si="8"/>
        <v>1468</v>
      </c>
      <c r="AQ13" s="823">
        <v>274</v>
      </c>
      <c r="AR13" s="823">
        <v>384</v>
      </c>
      <c r="AS13" s="823">
        <v>460</v>
      </c>
      <c r="AT13" s="823">
        <v>398</v>
      </c>
      <c r="AU13" s="824">
        <f t="shared" si="9"/>
        <v>1516</v>
      </c>
      <c r="AV13" s="823">
        <v>360</v>
      </c>
      <c r="AW13" s="823">
        <v>409</v>
      </c>
      <c r="AX13" s="823">
        <v>421</v>
      </c>
      <c r="AY13" s="823">
        <v>402</v>
      </c>
      <c r="AZ13" s="824">
        <f t="shared" si="10"/>
        <v>1592</v>
      </c>
      <c r="BA13" s="825">
        <v>372</v>
      </c>
      <c r="BB13" s="825">
        <v>443</v>
      </c>
      <c r="BC13" s="825">
        <v>454</v>
      </c>
      <c r="BD13" s="825">
        <v>410</v>
      </c>
      <c r="BE13" s="826">
        <f t="shared" si="11"/>
        <v>1679</v>
      </c>
      <c r="BF13" s="825">
        <v>399</v>
      </c>
      <c r="BG13" s="825">
        <v>461</v>
      </c>
      <c r="BH13" s="825">
        <v>478</v>
      </c>
      <c r="BI13" s="825">
        <v>443.40809515103291</v>
      </c>
      <c r="BJ13" s="826">
        <f t="shared" si="12"/>
        <v>1781.408095151033</v>
      </c>
    </row>
    <row r="14" spans="2:62" s="827" customFormat="1" ht="11.25" customHeight="1">
      <c r="B14" s="822" t="str">
        <f>names!$A220</f>
        <v>ON</v>
      </c>
      <c r="C14" s="823">
        <v>900</v>
      </c>
      <c r="D14" s="823">
        <v>1037</v>
      </c>
      <c r="E14" s="823">
        <v>1105</v>
      </c>
      <c r="F14" s="823">
        <v>1096</v>
      </c>
      <c r="G14" s="824">
        <f t="shared" si="1"/>
        <v>4138</v>
      </c>
      <c r="H14" s="823">
        <v>960</v>
      </c>
      <c r="I14" s="823">
        <v>1081</v>
      </c>
      <c r="J14" s="823">
        <v>1175</v>
      </c>
      <c r="K14" s="823">
        <v>1121</v>
      </c>
      <c r="L14" s="824">
        <f t="shared" si="2"/>
        <v>4337</v>
      </c>
      <c r="M14" s="823">
        <v>1028</v>
      </c>
      <c r="N14" s="823">
        <v>1135</v>
      </c>
      <c r="O14" s="823">
        <v>1230</v>
      </c>
      <c r="P14" s="823">
        <v>1148</v>
      </c>
      <c r="Q14" s="824">
        <f t="shared" si="3"/>
        <v>4541</v>
      </c>
      <c r="R14" s="823">
        <v>1041</v>
      </c>
      <c r="S14" s="823">
        <v>1199</v>
      </c>
      <c r="T14" s="823">
        <v>1283</v>
      </c>
      <c r="U14" s="823">
        <v>1210</v>
      </c>
      <c r="V14" s="824">
        <f t="shared" si="4"/>
        <v>4733</v>
      </c>
      <c r="W14" s="823">
        <v>1081</v>
      </c>
      <c r="X14" s="823">
        <v>1237</v>
      </c>
      <c r="Y14" s="823">
        <v>1310</v>
      </c>
      <c r="Z14" s="823">
        <v>1269</v>
      </c>
      <c r="AA14" s="824">
        <f t="shared" si="5"/>
        <v>4897</v>
      </c>
      <c r="AB14" s="823">
        <v>1123</v>
      </c>
      <c r="AC14" s="823">
        <v>1267</v>
      </c>
      <c r="AD14" s="823">
        <v>1292</v>
      </c>
      <c r="AE14" s="823">
        <v>1272</v>
      </c>
      <c r="AF14" s="824">
        <f t="shared" si="6"/>
        <v>4954</v>
      </c>
      <c r="AG14" s="823">
        <v>1154</v>
      </c>
      <c r="AH14" s="823">
        <v>1277</v>
      </c>
      <c r="AI14" s="823">
        <v>1328</v>
      </c>
      <c r="AJ14" s="823">
        <v>1266</v>
      </c>
      <c r="AK14" s="824">
        <f t="shared" si="7"/>
        <v>5025</v>
      </c>
      <c r="AL14" s="823">
        <v>1122</v>
      </c>
      <c r="AM14" s="823">
        <v>1137</v>
      </c>
      <c r="AN14" s="823">
        <v>1320</v>
      </c>
      <c r="AO14" s="823">
        <v>1210</v>
      </c>
      <c r="AP14" s="824">
        <f t="shared" si="8"/>
        <v>4789</v>
      </c>
      <c r="AQ14" s="823">
        <v>1091</v>
      </c>
      <c r="AR14" s="823">
        <v>1263</v>
      </c>
      <c r="AS14" s="823">
        <v>1427</v>
      </c>
      <c r="AT14" s="823">
        <v>1331</v>
      </c>
      <c r="AU14" s="824">
        <f t="shared" si="9"/>
        <v>5112</v>
      </c>
      <c r="AV14" s="823">
        <v>1239</v>
      </c>
      <c r="AW14" s="823">
        <v>1274</v>
      </c>
      <c r="AX14" s="823">
        <v>1309</v>
      </c>
      <c r="AY14" s="823">
        <v>1349</v>
      </c>
      <c r="AZ14" s="824">
        <f t="shared" si="10"/>
        <v>5171</v>
      </c>
      <c r="BA14" s="825">
        <v>1217</v>
      </c>
      <c r="BB14" s="825">
        <v>1351</v>
      </c>
      <c r="BC14" s="825">
        <v>1360</v>
      </c>
      <c r="BD14" s="825">
        <v>1275</v>
      </c>
      <c r="BE14" s="826">
        <f t="shared" si="11"/>
        <v>5203</v>
      </c>
      <c r="BF14" s="825">
        <v>1237</v>
      </c>
      <c r="BG14" s="825">
        <v>1366</v>
      </c>
      <c r="BH14" s="825">
        <v>1420</v>
      </c>
      <c r="BI14" s="825">
        <v>1351.7361053507871</v>
      </c>
      <c r="BJ14" s="826">
        <f t="shared" si="12"/>
        <v>5374.7361053507866</v>
      </c>
    </row>
    <row r="15" spans="2:62">
      <c r="B15" s="819" t="str">
        <f>names!$A221</f>
        <v>Niemcy</v>
      </c>
      <c r="C15" s="820">
        <f>C16+C17</f>
        <v>11957.884999999998</v>
      </c>
      <c r="D15" s="820">
        <f>D16+D17</f>
        <v>13563.311000000002</v>
      </c>
      <c r="E15" s="820">
        <f>E16+E17</f>
        <v>14186.3</v>
      </c>
      <c r="F15" s="820">
        <f>F16+F17</f>
        <v>13594.983</v>
      </c>
      <c r="G15" s="821">
        <f t="shared" si="1"/>
        <v>53302.478999999999</v>
      </c>
      <c r="H15" s="820">
        <f>H16+H17</f>
        <v>12675.21</v>
      </c>
      <c r="I15" s="820">
        <f>I16+I17</f>
        <v>13535.841</v>
      </c>
      <c r="J15" s="820">
        <f>J16+J17</f>
        <v>14118.626</v>
      </c>
      <c r="K15" s="820">
        <f>K16+K17</f>
        <v>13784.038</v>
      </c>
      <c r="L15" s="821">
        <f t="shared" si="2"/>
        <v>54113.714999999997</v>
      </c>
      <c r="M15" s="820">
        <f>M16+M17</f>
        <v>12486.906999999999</v>
      </c>
      <c r="N15" s="820">
        <f>N16+N17</f>
        <v>13717.094000000001</v>
      </c>
      <c r="O15" s="820">
        <f>O16+O17</f>
        <v>14588.718000000001</v>
      </c>
      <c r="P15" s="820">
        <f>P16+P17</f>
        <v>14189.761</v>
      </c>
      <c r="Q15" s="821">
        <f t="shared" si="3"/>
        <v>54982.479999999996</v>
      </c>
      <c r="R15" s="820">
        <f>R16+R17</f>
        <v>12944.048000000001</v>
      </c>
      <c r="S15" s="820">
        <f>S16+S17</f>
        <v>14216.947</v>
      </c>
      <c r="T15" s="820">
        <f>T16+T17</f>
        <v>14793.986000000001</v>
      </c>
      <c r="U15" s="820">
        <f>U16+U17</f>
        <v>14183.957000000002</v>
      </c>
      <c r="V15" s="821">
        <f t="shared" si="4"/>
        <v>56138.938000000002</v>
      </c>
      <c r="W15" s="820">
        <f>W16+W17</f>
        <v>13600.134999999998</v>
      </c>
      <c r="X15" s="820">
        <f>X16+X17</f>
        <v>14500.588</v>
      </c>
      <c r="Y15" s="820">
        <f>Y16+Y17</f>
        <v>14707.127</v>
      </c>
      <c r="Z15" s="820">
        <f>Z16+Z17</f>
        <v>14190.723</v>
      </c>
      <c r="AA15" s="821">
        <f t="shared" si="5"/>
        <v>56998.572999999997</v>
      </c>
      <c r="AB15" s="820">
        <f>AB16+AB17</f>
        <v>12903.357</v>
      </c>
      <c r="AC15" s="820">
        <f>AC16+AC17</f>
        <v>14144.731000000002</v>
      </c>
      <c r="AD15" s="820">
        <f>AD16+AD17</f>
        <v>14397.777999999998</v>
      </c>
      <c r="AE15" s="820">
        <f>AE16+AE17</f>
        <v>13866.240000000002</v>
      </c>
      <c r="AF15" s="821">
        <f t="shared" si="6"/>
        <v>55312.106</v>
      </c>
      <c r="AG15" s="820">
        <f>AG16+AG17</f>
        <v>13131.634000000002</v>
      </c>
      <c r="AH15" s="820">
        <f>AH16+AH17</f>
        <v>14146.696</v>
      </c>
      <c r="AI15" s="820">
        <f>AI16+AI17</f>
        <v>14544.983</v>
      </c>
      <c r="AJ15" s="820">
        <f>AJ16+AJ17</f>
        <v>13990.772999999999</v>
      </c>
      <c r="AK15" s="821">
        <f t="shared" si="7"/>
        <v>55814.086000000003</v>
      </c>
      <c r="AL15" s="820">
        <f>AL16+AL17</f>
        <v>12996.905999999999</v>
      </c>
      <c r="AM15" s="820">
        <f>AM16+AM17</f>
        <v>11620.607</v>
      </c>
      <c r="AN15" s="820">
        <f>AN16+AN17</f>
        <v>13914.781999999999</v>
      </c>
      <c r="AO15" s="820">
        <f>AO16+AO17</f>
        <v>12848.884</v>
      </c>
      <c r="AP15" s="821">
        <f t="shared" si="8"/>
        <v>51381.178999999996</v>
      </c>
      <c r="AQ15" s="820">
        <f>AQ16+AQ17</f>
        <v>10849.626</v>
      </c>
      <c r="AR15" s="820">
        <f>AR16+AR17</f>
        <v>12890.123</v>
      </c>
      <c r="AS15" s="820">
        <f>AS16+AS17</f>
        <v>14257.630999999999</v>
      </c>
      <c r="AT15" s="820">
        <f>AT16+AT17</f>
        <v>13728.509999999998</v>
      </c>
      <c r="AU15" s="821">
        <f t="shared" si="9"/>
        <v>51725.89</v>
      </c>
      <c r="AV15" s="820">
        <f>AV16+AV17</f>
        <v>12204.145</v>
      </c>
      <c r="AW15" s="820">
        <f>AW16+AW17</f>
        <v>12607.909</v>
      </c>
      <c r="AX15" s="820">
        <f>AX16+AX17</f>
        <v>13740.711000000001</v>
      </c>
      <c r="AY15" s="820">
        <f>AY16+AY17</f>
        <v>13204.225999999999</v>
      </c>
      <c r="AZ15" s="821">
        <f t="shared" si="10"/>
        <v>51756.990999999995</v>
      </c>
      <c r="BA15" s="820">
        <f t="shared" ref="BA15:BI15" si="15">BA16+BA17</f>
        <v>12062.210999999999</v>
      </c>
      <c r="BB15" s="820">
        <f t="shared" si="15"/>
        <v>12841.728999999999</v>
      </c>
      <c r="BC15" s="820">
        <f t="shared" si="15"/>
        <v>13061.439999999999</v>
      </c>
      <c r="BD15" s="820">
        <f t="shared" si="15"/>
        <v>13018.335999999999</v>
      </c>
      <c r="BE15" s="821">
        <f t="shared" si="11"/>
        <v>50983.716</v>
      </c>
      <c r="BF15" s="820">
        <f t="shared" si="15"/>
        <v>11494.375</v>
      </c>
      <c r="BG15" s="820">
        <f t="shared" si="15"/>
        <v>12611.659</v>
      </c>
      <c r="BH15" s="820">
        <f t="shared" si="15"/>
        <v>13115.424000000001</v>
      </c>
      <c r="BI15" s="820">
        <f t="shared" si="15"/>
        <v>12601.841</v>
      </c>
      <c r="BJ15" s="821">
        <f t="shared" si="12"/>
        <v>49823.298999999999</v>
      </c>
    </row>
    <row r="16" spans="2:62" s="827" customFormat="1" ht="11.25" customHeight="1">
      <c r="B16" s="822" t="str">
        <f>names!$A222</f>
        <v>Benzyny</v>
      </c>
      <c r="C16" s="823">
        <v>4190.5039999999999</v>
      </c>
      <c r="D16" s="823">
        <v>4742.5569999999998</v>
      </c>
      <c r="E16" s="823">
        <v>4891.7950000000001</v>
      </c>
      <c r="F16" s="823">
        <v>4626.5140000000001</v>
      </c>
      <c r="G16" s="824">
        <f t="shared" si="1"/>
        <v>18451.37</v>
      </c>
      <c r="H16" s="823">
        <v>4343.6970000000001</v>
      </c>
      <c r="I16" s="823">
        <v>4684.1130000000003</v>
      </c>
      <c r="J16" s="823">
        <v>4824.9949999999999</v>
      </c>
      <c r="K16" s="823">
        <v>4673.83</v>
      </c>
      <c r="L16" s="824">
        <f t="shared" si="2"/>
        <v>18526.635000000002</v>
      </c>
      <c r="M16" s="823">
        <v>4170.22</v>
      </c>
      <c r="N16" s="823">
        <v>4648.4449999999997</v>
      </c>
      <c r="O16" s="823">
        <v>4792.0039999999999</v>
      </c>
      <c r="P16" s="823">
        <v>4615.4140000000007</v>
      </c>
      <c r="Q16" s="824">
        <f t="shared" si="3"/>
        <v>18226.083000000002</v>
      </c>
      <c r="R16" s="823">
        <v>4248.7430000000004</v>
      </c>
      <c r="S16" s="823">
        <v>4645.9599999999991</v>
      </c>
      <c r="T16" s="823">
        <v>4777.6090000000004</v>
      </c>
      <c r="U16" s="823">
        <v>4565.3370000000004</v>
      </c>
      <c r="V16" s="824">
        <f t="shared" si="4"/>
        <v>18237.649000000001</v>
      </c>
      <c r="W16" s="823">
        <v>4378.3549999999996</v>
      </c>
      <c r="X16" s="823">
        <v>4691.2619999999997</v>
      </c>
      <c r="Y16" s="823">
        <v>4734.4409999999998</v>
      </c>
      <c r="Z16" s="823">
        <v>4491.9660000000003</v>
      </c>
      <c r="AA16" s="824">
        <f t="shared" si="5"/>
        <v>18296.023999999998</v>
      </c>
      <c r="AB16" s="823">
        <v>4166.7020000000002</v>
      </c>
      <c r="AC16" s="823">
        <v>4633.4580000000005</v>
      </c>
      <c r="AD16" s="823">
        <v>4622.576</v>
      </c>
      <c r="AE16" s="823">
        <v>4414.3620000000001</v>
      </c>
      <c r="AF16" s="824">
        <f t="shared" si="6"/>
        <v>17837.098000000002</v>
      </c>
      <c r="AG16" s="823">
        <v>4106.38</v>
      </c>
      <c r="AH16" s="823">
        <v>4589.991</v>
      </c>
      <c r="AI16" s="823">
        <v>4751.6980000000003</v>
      </c>
      <c r="AJ16" s="823">
        <v>4517.8449999999993</v>
      </c>
      <c r="AK16" s="824">
        <f t="shared" si="7"/>
        <v>17965.913999999997</v>
      </c>
      <c r="AL16" s="823">
        <v>4108.0709999999999</v>
      </c>
      <c r="AM16" s="823">
        <v>3561.7779999999998</v>
      </c>
      <c r="AN16" s="823">
        <v>4572.3189999999995</v>
      </c>
      <c r="AO16" s="823">
        <v>3975.7220000000002</v>
      </c>
      <c r="AP16" s="824">
        <f t="shared" si="8"/>
        <v>16217.89</v>
      </c>
      <c r="AQ16" s="823">
        <v>3463.2139999999999</v>
      </c>
      <c r="AR16" s="823">
        <v>4067.6610000000001</v>
      </c>
      <c r="AS16" s="823">
        <v>4638.8549999999996</v>
      </c>
      <c r="AT16" s="823">
        <v>4344.8519999999999</v>
      </c>
      <c r="AU16" s="824">
        <f t="shared" si="9"/>
        <v>16514.581999999999</v>
      </c>
      <c r="AV16" s="823">
        <v>3896.4789999999998</v>
      </c>
      <c r="AW16" s="823">
        <v>4264.1540000000005</v>
      </c>
      <c r="AX16" s="823">
        <v>4574.1990000000005</v>
      </c>
      <c r="AY16" s="823">
        <v>4261.1770000000006</v>
      </c>
      <c r="AZ16" s="824">
        <f t="shared" si="10"/>
        <v>16996.009000000002</v>
      </c>
      <c r="BA16" s="825">
        <v>4071.9160000000002</v>
      </c>
      <c r="BB16" s="825">
        <v>4457.8240000000005</v>
      </c>
      <c r="BC16" s="825">
        <v>4511.4080000000004</v>
      </c>
      <c r="BD16" s="825">
        <v>4410.3359999999993</v>
      </c>
      <c r="BE16" s="826">
        <f t="shared" si="11"/>
        <v>17451.484</v>
      </c>
      <c r="BF16" s="825">
        <v>4046.6009999999997</v>
      </c>
      <c r="BG16" s="825">
        <v>4532.6239999999998</v>
      </c>
      <c r="BH16" s="825">
        <v>4688.9290000000001</v>
      </c>
      <c r="BI16" s="825">
        <v>4525.4139999999998</v>
      </c>
      <c r="BJ16" s="826">
        <f t="shared" si="12"/>
        <v>17793.567999999999</v>
      </c>
    </row>
    <row r="17" spans="2:62" s="827" customFormat="1" ht="11.25" customHeight="1">
      <c r="B17" s="822" t="str">
        <f>names!$A223</f>
        <v>ON</v>
      </c>
      <c r="C17" s="823">
        <v>7767.3809999999994</v>
      </c>
      <c r="D17" s="823">
        <v>8820.7540000000008</v>
      </c>
      <c r="E17" s="823">
        <v>9294.5049999999992</v>
      </c>
      <c r="F17" s="823">
        <v>8968.469000000001</v>
      </c>
      <c r="G17" s="824">
        <f t="shared" si="1"/>
        <v>34851.108999999997</v>
      </c>
      <c r="H17" s="823">
        <v>8331.512999999999</v>
      </c>
      <c r="I17" s="823">
        <v>8851.728000000001</v>
      </c>
      <c r="J17" s="823">
        <v>9293.6310000000012</v>
      </c>
      <c r="K17" s="823">
        <v>9110.2080000000005</v>
      </c>
      <c r="L17" s="824">
        <f t="shared" si="2"/>
        <v>35587.08</v>
      </c>
      <c r="M17" s="823">
        <v>8316.6869999999999</v>
      </c>
      <c r="N17" s="823">
        <v>9068.6490000000013</v>
      </c>
      <c r="O17" s="823">
        <v>9796.7139999999999</v>
      </c>
      <c r="P17" s="823">
        <v>9574.3469999999998</v>
      </c>
      <c r="Q17" s="824">
        <f t="shared" si="3"/>
        <v>36756.397000000004</v>
      </c>
      <c r="R17" s="823">
        <v>8695.3050000000003</v>
      </c>
      <c r="S17" s="823">
        <v>9570.987000000001</v>
      </c>
      <c r="T17" s="823">
        <v>10016.377</v>
      </c>
      <c r="U17" s="823">
        <v>9618.6200000000008</v>
      </c>
      <c r="V17" s="824">
        <f t="shared" si="4"/>
        <v>37901.289000000004</v>
      </c>
      <c r="W17" s="823">
        <v>9221.7799999999988</v>
      </c>
      <c r="X17" s="823">
        <v>9809.3259999999991</v>
      </c>
      <c r="Y17" s="823">
        <v>9972.6859999999997</v>
      </c>
      <c r="Z17" s="823">
        <v>9698.7569999999996</v>
      </c>
      <c r="AA17" s="824">
        <f t="shared" si="5"/>
        <v>38702.548999999999</v>
      </c>
      <c r="AB17" s="823">
        <v>8736.6549999999988</v>
      </c>
      <c r="AC17" s="823">
        <v>9511.273000000001</v>
      </c>
      <c r="AD17" s="823">
        <v>9775.2019999999993</v>
      </c>
      <c r="AE17" s="823">
        <v>9451.8780000000006</v>
      </c>
      <c r="AF17" s="824">
        <f t="shared" si="6"/>
        <v>37475.008000000002</v>
      </c>
      <c r="AG17" s="823">
        <v>9025.2540000000008</v>
      </c>
      <c r="AH17" s="823">
        <v>9556.7049999999999</v>
      </c>
      <c r="AI17" s="823">
        <v>9793.2849999999999</v>
      </c>
      <c r="AJ17" s="823">
        <v>9472.9279999999999</v>
      </c>
      <c r="AK17" s="824">
        <f t="shared" si="7"/>
        <v>37848.172000000006</v>
      </c>
      <c r="AL17" s="823">
        <v>8888.8349999999991</v>
      </c>
      <c r="AM17" s="823">
        <v>8058.8289999999997</v>
      </c>
      <c r="AN17" s="823">
        <v>9342.4629999999997</v>
      </c>
      <c r="AO17" s="823">
        <v>8873.1620000000003</v>
      </c>
      <c r="AP17" s="824">
        <f t="shared" si="8"/>
        <v>35163.288999999997</v>
      </c>
      <c r="AQ17" s="823">
        <v>7386.4120000000003</v>
      </c>
      <c r="AR17" s="823">
        <v>8822.4619999999995</v>
      </c>
      <c r="AS17" s="823">
        <v>9618.7759999999998</v>
      </c>
      <c r="AT17" s="823">
        <v>9383.6579999999994</v>
      </c>
      <c r="AU17" s="824">
        <f t="shared" si="9"/>
        <v>35211.308000000005</v>
      </c>
      <c r="AV17" s="823">
        <v>8307.6660000000011</v>
      </c>
      <c r="AW17" s="823">
        <v>8343.7549999999992</v>
      </c>
      <c r="AX17" s="823">
        <v>9166.5120000000006</v>
      </c>
      <c r="AY17" s="823">
        <v>8943.0489999999991</v>
      </c>
      <c r="AZ17" s="824">
        <f t="shared" si="10"/>
        <v>34760.982000000004</v>
      </c>
      <c r="BA17" s="825">
        <v>7990.2950000000001</v>
      </c>
      <c r="BB17" s="825">
        <v>8383.9049999999988</v>
      </c>
      <c r="BC17" s="825">
        <v>8550.0319999999992</v>
      </c>
      <c r="BD17" s="825">
        <v>8608</v>
      </c>
      <c r="BE17" s="826">
        <f t="shared" si="11"/>
        <v>33532.231999999996</v>
      </c>
      <c r="BF17" s="825">
        <v>7447.7739999999994</v>
      </c>
      <c r="BG17" s="825">
        <v>8079.0350000000008</v>
      </c>
      <c r="BH17" s="825">
        <v>8426.4950000000008</v>
      </c>
      <c r="BI17" s="825">
        <v>8076.4269999999997</v>
      </c>
      <c r="BJ17" s="826">
        <f t="shared" si="12"/>
        <v>32029.731000000003</v>
      </c>
    </row>
    <row r="18" spans="2:62">
      <c r="B18" s="819" t="str">
        <f>names!$A224</f>
        <v>Słowacja</v>
      </c>
      <c r="C18" s="820" t="s">
        <v>249</v>
      </c>
      <c r="D18" s="820" t="s">
        <v>249</v>
      </c>
      <c r="E18" s="820" t="s">
        <v>249</v>
      </c>
      <c r="F18" s="820" t="s">
        <v>249</v>
      </c>
      <c r="G18" s="821" t="s">
        <v>249</v>
      </c>
      <c r="H18" s="820" t="s">
        <v>249</v>
      </c>
      <c r="I18" s="820" t="s">
        <v>249</v>
      </c>
      <c r="J18" s="820" t="s">
        <v>249</v>
      </c>
      <c r="K18" s="820" t="s">
        <v>249</v>
      </c>
      <c r="L18" s="821" t="s">
        <v>249</v>
      </c>
      <c r="M18" s="820" t="s">
        <v>249</v>
      </c>
      <c r="N18" s="820" t="s">
        <v>249</v>
      </c>
      <c r="O18" s="820" t="s">
        <v>249</v>
      </c>
      <c r="P18" s="820" t="s">
        <v>249</v>
      </c>
      <c r="Q18" s="821" t="s">
        <v>249</v>
      </c>
      <c r="R18" s="820" t="s">
        <v>249</v>
      </c>
      <c r="S18" s="820" t="s">
        <v>249</v>
      </c>
      <c r="T18" s="820" t="s">
        <v>249</v>
      </c>
      <c r="U18" s="820" t="s">
        <v>249</v>
      </c>
      <c r="V18" s="821" t="s">
        <v>249</v>
      </c>
      <c r="W18" s="820" t="s">
        <v>249</v>
      </c>
      <c r="X18" s="820" t="s">
        <v>249</v>
      </c>
      <c r="Y18" s="820" t="s">
        <v>249</v>
      </c>
      <c r="Z18" s="820" t="s">
        <v>249</v>
      </c>
      <c r="AA18" s="821" t="s">
        <v>249</v>
      </c>
      <c r="AB18" s="820" t="s">
        <v>249</v>
      </c>
      <c r="AC18" s="820" t="s">
        <v>249</v>
      </c>
      <c r="AD18" s="820" t="s">
        <v>249</v>
      </c>
      <c r="AE18" s="820" t="s">
        <v>249</v>
      </c>
      <c r="AF18" s="821" t="s">
        <v>249</v>
      </c>
      <c r="AG18" s="820" t="s">
        <v>249</v>
      </c>
      <c r="AH18" s="820" t="s">
        <v>249</v>
      </c>
      <c r="AI18" s="820" t="s">
        <v>249</v>
      </c>
      <c r="AJ18" s="820" t="s">
        <v>249</v>
      </c>
      <c r="AK18" s="821" t="s">
        <v>249</v>
      </c>
      <c r="AL18" s="820" t="s">
        <v>249</v>
      </c>
      <c r="AM18" s="820" t="s">
        <v>249</v>
      </c>
      <c r="AN18" s="820" t="s">
        <v>249</v>
      </c>
      <c r="AO18" s="820" t="s">
        <v>249</v>
      </c>
      <c r="AP18" s="821" t="s">
        <v>249</v>
      </c>
      <c r="AQ18" s="820" t="s">
        <v>249</v>
      </c>
      <c r="AR18" s="820" t="s">
        <v>249</v>
      </c>
      <c r="AS18" s="820" t="s">
        <v>249</v>
      </c>
      <c r="AT18" s="820" t="s">
        <v>249</v>
      </c>
      <c r="AU18" s="821" t="s">
        <v>249</v>
      </c>
      <c r="AV18" s="820">
        <f>AV19+AV20</f>
        <v>610.11500000000001</v>
      </c>
      <c r="AW18" s="820">
        <f>AW19+AW20</f>
        <v>707.76499999999999</v>
      </c>
      <c r="AX18" s="820">
        <f>AX19+AX20</f>
        <v>686.39300000000003</v>
      </c>
      <c r="AY18" s="820">
        <f>AY19+AY20</f>
        <v>701.18700000000001</v>
      </c>
      <c r="AZ18" s="821">
        <f t="shared" si="10"/>
        <v>2705.46</v>
      </c>
      <c r="BA18" s="820">
        <f t="shared" ref="BA18:BI18" si="16">BA19+BA20</f>
        <v>663.99</v>
      </c>
      <c r="BB18" s="820">
        <f t="shared" si="16"/>
        <v>665.90699999999993</v>
      </c>
      <c r="BC18" s="820">
        <f t="shared" si="16"/>
        <v>710.25200000000007</v>
      </c>
      <c r="BD18" s="820">
        <f t="shared" si="16"/>
        <v>674.01600000000008</v>
      </c>
      <c r="BE18" s="821">
        <f t="shared" si="11"/>
        <v>2714.165</v>
      </c>
      <c r="BF18" s="820">
        <f t="shared" si="16"/>
        <v>645.32500000000005</v>
      </c>
      <c r="BG18" s="820">
        <f t="shared" si="16"/>
        <v>750.94799999999998</v>
      </c>
      <c r="BH18" s="820">
        <f t="shared" si="16"/>
        <v>803.42</v>
      </c>
      <c r="BI18" s="820">
        <f t="shared" si="16"/>
        <v>752.51618305748343</v>
      </c>
      <c r="BJ18" s="821">
        <f t="shared" si="12"/>
        <v>2952.2091830574836</v>
      </c>
    </row>
    <row r="19" spans="2:62" s="827" customFormat="1" ht="11.25" customHeight="1">
      <c r="B19" s="822" t="str">
        <f>names!$A225</f>
        <v>Benzyny</v>
      </c>
      <c r="C19" s="823" t="s">
        <v>249</v>
      </c>
      <c r="D19" s="823" t="s">
        <v>249</v>
      </c>
      <c r="E19" s="823" t="s">
        <v>249</v>
      </c>
      <c r="F19" s="823" t="s">
        <v>249</v>
      </c>
      <c r="G19" s="824" t="s">
        <v>249</v>
      </c>
      <c r="H19" s="823" t="s">
        <v>249</v>
      </c>
      <c r="I19" s="823" t="s">
        <v>249</v>
      </c>
      <c r="J19" s="823" t="s">
        <v>249</v>
      </c>
      <c r="K19" s="823" t="s">
        <v>249</v>
      </c>
      <c r="L19" s="824" t="s">
        <v>249</v>
      </c>
      <c r="M19" s="823" t="s">
        <v>249</v>
      </c>
      <c r="N19" s="823" t="s">
        <v>249</v>
      </c>
      <c r="O19" s="823" t="s">
        <v>249</v>
      </c>
      <c r="P19" s="823" t="s">
        <v>249</v>
      </c>
      <c r="Q19" s="824" t="s">
        <v>249</v>
      </c>
      <c r="R19" s="823" t="s">
        <v>249</v>
      </c>
      <c r="S19" s="823" t="s">
        <v>249</v>
      </c>
      <c r="T19" s="823" t="s">
        <v>249</v>
      </c>
      <c r="U19" s="823" t="s">
        <v>249</v>
      </c>
      <c r="V19" s="824" t="s">
        <v>249</v>
      </c>
      <c r="W19" s="823" t="s">
        <v>249</v>
      </c>
      <c r="X19" s="823" t="s">
        <v>249</v>
      </c>
      <c r="Y19" s="823" t="s">
        <v>249</v>
      </c>
      <c r="Z19" s="823" t="s">
        <v>249</v>
      </c>
      <c r="AA19" s="824" t="s">
        <v>249</v>
      </c>
      <c r="AB19" s="823" t="s">
        <v>249</v>
      </c>
      <c r="AC19" s="823" t="s">
        <v>249</v>
      </c>
      <c r="AD19" s="823" t="s">
        <v>249</v>
      </c>
      <c r="AE19" s="823" t="s">
        <v>249</v>
      </c>
      <c r="AF19" s="824" t="s">
        <v>249</v>
      </c>
      <c r="AG19" s="823" t="s">
        <v>249</v>
      </c>
      <c r="AH19" s="823" t="s">
        <v>249</v>
      </c>
      <c r="AI19" s="823" t="s">
        <v>249</v>
      </c>
      <c r="AJ19" s="823" t="s">
        <v>249</v>
      </c>
      <c r="AK19" s="824" t="s">
        <v>249</v>
      </c>
      <c r="AL19" s="823" t="s">
        <v>249</v>
      </c>
      <c r="AM19" s="823" t="s">
        <v>249</v>
      </c>
      <c r="AN19" s="823" t="s">
        <v>249</v>
      </c>
      <c r="AO19" s="823" t="s">
        <v>249</v>
      </c>
      <c r="AP19" s="824" t="s">
        <v>249</v>
      </c>
      <c r="AQ19" s="823" t="s">
        <v>249</v>
      </c>
      <c r="AR19" s="823" t="s">
        <v>249</v>
      </c>
      <c r="AS19" s="823" t="s">
        <v>249</v>
      </c>
      <c r="AT19" s="823" t="s">
        <v>249</v>
      </c>
      <c r="AU19" s="824" t="s">
        <v>249</v>
      </c>
      <c r="AV19" s="823">
        <v>140.76900000000001</v>
      </c>
      <c r="AW19" s="823">
        <v>171.41</v>
      </c>
      <c r="AX19" s="823">
        <v>182.02700000000002</v>
      </c>
      <c r="AY19" s="823">
        <v>166.91900000000001</v>
      </c>
      <c r="AZ19" s="824">
        <f t="shared" si="10"/>
        <v>661.125</v>
      </c>
      <c r="BA19" s="825">
        <v>162.53799999999998</v>
      </c>
      <c r="BB19" s="825">
        <v>174.405</v>
      </c>
      <c r="BC19" s="825">
        <v>178.68700000000001</v>
      </c>
      <c r="BD19" s="825">
        <v>163.815</v>
      </c>
      <c r="BE19" s="826">
        <f t="shared" si="11"/>
        <v>679.44499999999994</v>
      </c>
      <c r="BF19" s="825">
        <v>157.619</v>
      </c>
      <c r="BG19" s="825">
        <v>176.428</v>
      </c>
      <c r="BH19" s="825">
        <v>198.26400000000001</v>
      </c>
      <c r="BI19" s="825">
        <v>177.56531158379528</v>
      </c>
      <c r="BJ19" s="826">
        <f t="shared" si="12"/>
        <v>709.87631158379531</v>
      </c>
    </row>
    <row r="20" spans="2:62" s="827" customFormat="1" ht="11.25" customHeight="1">
      <c r="B20" s="822" t="str">
        <f>names!$A226</f>
        <v>ON</v>
      </c>
      <c r="C20" s="823" t="s">
        <v>249</v>
      </c>
      <c r="D20" s="823" t="s">
        <v>249</v>
      </c>
      <c r="E20" s="823" t="s">
        <v>249</v>
      </c>
      <c r="F20" s="823" t="s">
        <v>249</v>
      </c>
      <c r="G20" s="824" t="s">
        <v>249</v>
      </c>
      <c r="H20" s="823" t="s">
        <v>249</v>
      </c>
      <c r="I20" s="823" t="s">
        <v>249</v>
      </c>
      <c r="J20" s="823" t="s">
        <v>249</v>
      </c>
      <c r="K20" s="823" t="s">
        <v>249</v>
      </c>
      <c r="L20" s="824" t="s">
        <v>249</v>
      </c>
      <c r="M20" s="823" t="s">
        <v>249</v>
      </c>
      <c r="N20" s="823" t="s">
        <v>249</v>
      </c>
      <c r="O20" s="823" t="s">
        <v>249</v>
      </c>
      <c r="P20" s="823" t="s">
        <v>249</v>
      </c>
      <c r="Q20" s="824" t="s">
        <v>249</v>
      </c>
      <c r="R20" s="823" t="s">
        <v>249</v>
      </c>
      <c r="S20" s="823" t="s">
        <v>249</v>
      </c>
      <c r="T20" s="823" t="s">
        <v>249</v>
      </c>
      <c r="U20" s="823" t="s">
        <v>249</v>
      </c>
      <c r="V20" s="824" t="s">
        <v>249</v>
      </c>
      <c r="W20" s="823" t="s">
        <v>249</v>
      </c>
      <c r="X20" s="823" t="s">
        <v>249</v>
      </c>
      <c r="Y20" s="823" t="s">
        <v>249</v>
      </c>
      <c r="Z20" s="823" t="s">
        <v>249</v>
      </c>
      <c r="AA20" s="824" t="s">
        <v>249</v>
      </c>
      <c r="AB20" s="823" t="s">
        <v>249</v>
      </c>
      <c r="AC20" s="823" t="s">
        <v>249</v>
      </c>
      <c r="AD20" s="823" t="s">
        <v>249</v>
      </c>
      <c r="AE20" s="823" t="s">
        <v>249</v>
      </c>
      <c r="AF20" s="824" t="s">
        <v>249</v>
      </c>
      <c r="AG20" s="823" t="s">
        <v>249</v>
      </c>
      <c r="AH20" s="823" t="s">
        <v>249</v>
      </c>
      <c r="AI20" s="823" t="s">
        <v>249</v>
      </c>
      <c r="AJ20" s="823" t="s">
        <v>249</v>
      </c>
      <c r="AK20" s="824" t="s">
        <v>249</v>
      </c>
      <c r="AL20" s="823" t="s">
        <v>249</v>
      </c>
      <c r="AM20" s="823" t="s">
        <v>249</v>
      </c>
      <c r="AN20" s="823" t="s">
        <v>249</v>
      </c>
      <c r="AO20" s="823" t="s">
        <v>249</v>
      </c>
      <c r="AP20" s="824" t="s">
        <v>249</v>
      </c>
      <c r="AQ20" s="823" t="s">
        <v>249</v>
      </c>
      <c r="AR20" s="823" t="s">
        <v>249</v>
      </c>
      <c r="AS20" s="823" t="s">
        <v>249</v>
      </c>
      <c r="AT20" s="823" t="s">
        <v>249</v>
      </c>
      <c r="AU20" s="824" t="s">
        <v>249</v>
      </c>
      <c r="AV20" s="823">
        <v>469.346</v>
      </c>
      <c r="AW20" s="823">
        <v>536.35500000000002</v>
      </c>
      <c r="AX20" s="823">
        <v>504.36599999999999</v>
      </c>
      <c r="AY20" s="823">
        <v>534.26800000000003</v>
      </c>
      <c r="AZ20" s="824">
        <f t="shared" si="10"/>
        <v>2044.335</v>
      </c>
      <c r="BA20" s="825">
        <v>501.452</v>
      </c>
      <c r="BB20" s="825">
        <v>491.50199999999995</v>
      </c>
      <c r="BC20" s="825">
        <v>531.56500000000005</v>
      </c>
      <c r="BD20" s="825">
        <v>510.20100000000002</v>
      </c>
      <c r="BE20" s="826">
        <f t="shared" si="11"/>
        <v>2034.72</v>
      </c>
      <c r="BF20" s="825">
        <v>487.70600000000002</v>
      </c>
      <c r="BG20" s="825">
        <v>574.52</v>
      </c>
      <c r="BH20" s="825">
        <v>605.15599999999995</v>
      </c>
      <c r="BI20" s="825">
        <v>574.95087147368815</v>
      </c>
      <c r="BJ20" s="826">
        <f t="shared" si="12"/>
        <v>2242.3328714736881</v>
      </c>
    </row>
    <row r="21" spans="2:62">
      <c r="B21" s="819" t="str">
        <f>names!$A227</f>
        <v>Węgry</v>
      </c>
      <c r="C21" s="820" t="s">
        <v>249</v>
      </c>
      <c r="D21" s="820" t="s">
        <v>249</v>
      </c>
      <c r="E21" s="820" t="s">
        <v>249</v>
      </c>
      <c r="F21" s="820" t="s">
        <v>249</v>
      </c>
      <c r="G21" s="821" t="s">
        <v>249</v>
      </c>
      <c r="H21" s="820" t="s">
        <v>249</v>
      </c>
      <c r="I21" s="820" t="s">
        <v>249</v>
      </c>
      <c r="J21" s="820" t="s">
        <v>249</v>
      </c>
      <c r="K21" s="820" t="s">
        <v>249</v>
      </c>
      <c r="L21" s="821" t="s">
        <v>249</v>
      </c>
      <c r="M21" s="820" t="s">
        <v>249</v>
      </c>
      <c r="N21" s="820" t="s">
        <v>249</v>
      </c>
      <c r="O21" s="820" t="s">
        <v>249</v>
      </c>
      <c r="P21" s="820" t="s">
        <v>249</v>
      </c>
      <c r="Q21" s="821" t="s">
        <v>249</v>
      </c>
      <c r="R21" s="820" t="s">
        <v>249</v>
      </c>
      <c r="S21" s="820" t="s">
        <v>249</v>
      </c>
      <c r="T21" s="820" t="s">
        <v>249</v>
      </c>
      <c r="U21" s="820" t="s">
        <v>249</v>
      </c>
      <c r="V21" s="821" t="s">
        <v>249</v>
      </c>
      <c r="W21" s="820" t="s">
        <v>249</v>
      </c>
      <c r="X21" s="820" t="s">
        <v>249</v>
      </c>
      <c r="Y21" s="820" t="s">
        <v>249</v>
      </c>
      <c r="Z21" s="820" t="s">
        <v>249</v>
      </c>
      <c r="AA21" s="821" t="s">
        <v>249</v>
      </c>
      <c r="AB21" s="820" t="s">
        <v>249</v>
      </c>
      <c r="AC21" s="820" t="s">
        <v>249</v>
      </c>
      <c r="AD21" s="820" t="s">
        <v>249</v>
      </c>
      <c r="AE21" s="820" t="s">
        <v>249</v>
      </c>
      <c r="AF21" s="821" t="s">
        <v>249</v>
      </c>
      <c r="AG21" s="820" t="s">
        <v>249</v>
      </c>
      <c r="AH21" s="820" t="s">
        <v>249</v>
      </c>
      <c r="AI21" s="820" t="s">
        <v>249</v>
      </c>
      <c r="AJ21" s="820" t="s">
        <v>249</v>
      </c>
      <c r="AK21" s="821" t="s">
        <v>249</v>
      </c>
      <c r="AL21" s="820" t="s">
        <v>249</v>
      </c>
      <c r="AM21" s="820" t="s">
        <v>249</v>
      </c>
      <c r="AN21" s="820" t="s">
        <v>249</v>
      </c>
      <c r="AO21" s="820" t="s">
        <v>249</v>
      </c>
      <c r="AP21" s="821" t="s">
        <v>249</v>
      </c>
      <c r="AQ21" s="820" t="s">
        <v>249</v>
      </c>
      <c r="AR21" s="820" t="s">
        <v>249</v>
      </c>
      <c r="AS21" s="820" t="s">
        <v>249</v>
      </c>
      <c r="AT21" s="820" t="s">
        <v>249</v>
      </c>
      <c r="AU21" s="821" t="s">
        <v>249</v>
      </c>
      <c r="AV21" s="820">
        <f>AV22+AV23</f>
        <v>1343</v>
      </c>
      <c r="AW21" s="820">
        <f>AW22+AW23</f>
        <v>1478</v>
      </c>
      <c r="AX21" s="820">
        <f>AX22+AX23</f>
        <v>1393</v>
      </c>
      <c r="AY21" s="820">
        <f>AY22+AY23</f>
        <v>1294</v>
      </c>
      <c r="AZ21" s="821">
        <f t="shared" si="10"/>
        <v>5508</v>
      </c>
      <c r="BA21" s="820">
        <f t="shared" ref="BA21:BI21" si="17">BA22+BA23</f>
        <v>1132</v>
      </c>
      <c r="BB21" s="820">
        <f t="shared" si="17"/>
        <v>1299</v>
      </c>
      <c r="BC21" s="820">
        <f t="shared" si="17"/>
        <v>1428</v>
      </c>
      <c r="BD21" s="820">
        <f t="shared" si="17"/>
        <v>1400</v>
      </c>
      <c r="BE21" s="821">
        <f t="shared" si="11"/>
        <v>5259</v>
      </c>
      <c r="BF21" s="820">
        <f t="shared" si="17"/>
        <v>1147</v>
      </c>
      <c r="BG21" s="820">
        <f t="shared" si="17"/>
        <v>1333</v>
      </c>
      <c r="BH21" s="820">
        <f t="shared" si="17"/>
        <v>1405</v>
      </c>
      <c r="BI21" s="820">
        <f t="shared" si="17"/>
        <v>1426.9148936170213</v>
      </c>
      <c r="BJ21" s="821">
        <f t="shared" si="12"/>
        <v>5311.9148936170213</v>
      </c>
    </row>
    <row r="22" spans="2:62" s="827" customFormat="1" ht="11.25" customHeight="1">
      <c r="B22" s="822" t="str">
        <f>names!$A228</f>
        <v>Benzyny</v>
      </c>
      <c r="C22" s="823" t="s">
        <v>249</v>
      </c>
      <c r="D22" s="823" t="s">
        <v>249</v>
      </c>
      <c r="E22" s="823" t="s">
        <v>249</v>
      </c>
      <c r="F22" s="823" t="s">
        <v>249</v>
      </c>
      <c r="G22" s="824" t="s">
        <v>249</v>
      </c>
      <c r="H22" s="823" t="s">
        <v>249</v>
      </c>
      <c r="I22" s="823" t="s">
        <v>249</v>
      </c>
      <c r="J22" s="823" t="s">
        <v>249</v>
      </c>
      <c r="K22" s="823" t="s">
        <v>249</v>
      </c>
      <c r="L22" s="824" t="s">
        <v>249</v>
      </c>
      <c r="M22" s="823" t="s">
        <v>249</v>
      </c>
      <c r="N22" s="823" t="s">
        <v>249</v>
      </c>
      <c r="O22" s="823" t="s">
        <v>249</v>
      </c>
      <c r="P22" s="823" t="s">
        <v>249</v>
      </c>
      <c r="Q22" s="824" t="s">
        <v>249</v>
      </c>
      <c r="R22" s="823" t="s">
        <v>249</v>
      </c>
      <c r="S22" s="823" t="s">
        <v>249</v>
      </c>
      <c r="T22" s="823" t="s">
        <v>249</v>
      </c>
      <c r="U22" s="823" t="s">
        <v>249</v>
      </c>
      <c r="V22" s="824" t="s">
        <v>249</v>
      </c>
      <c r="W22" s="823" t="s">
        <v>249</v>
      </c>
      <c r="X22" s="823" t="s">
        <v>249</v>
      </c>
      <c r="Y22" s="823" t="s">
        <v>249</v>
      </c>
      <c r="Z22" s="823" t="s">
        <v>249</v>
      </c>
      <c r="AA22" s="824" t="s">
        <v>249</v>
      </c>
      <c r="AB22" s="823" t="s">
        <v>249</v>
      </c>
      <c r="AC22" s="823" t="s">
        <v>249</v>
      </c>
      <c r="AD22" s="823" t="s">
        <v>249</v>
      </c>
      <c r="AE22" s="823" t="s">
        <v>249</v>
      </c>
      <c r="AF22" s="824" t="s">
        <v>249</v>
      </c>
      <c r="AG22" s="823" t="s">
        <v>249</v>
      </c>
      <c r="AH22" s="823" t="s">
        <v>249</v>
      </c>
      <c r="AI22" s="823" t="s">
        <v>249</v>
      </c>
      <c r="AJ22" s="823" t="s">
        <v>249</v>
      </c>
      <c r="AK22" s="824" t="s">
        <v>249</v>
      </c>
      <c r="AL22" s="823" t="s">
        <v>249</v>
      </c>
      <c r="AM22" s="823" t="s">
        <v>249</v>
      </c>
      <c r="AN22" s="823" t="s">
        <v>249</v>
      </c>
      <c r="AO22" s="823" t="s">
        <v>249</v>
      </c>
      <c r="AP22" s="824" t="s">
        <v>249</v>
      </c>
      <c r="AQ22" s="823" t="s">
        <v>249</v>
      </c>
      <c r="AR22" s="823" t="s">
        <v>249</v>
      </c>
      <c r="AS22" s="823" t="s">
        <v>249</v>
      </c>
      <c r="AT22" s="823" t="s">
        <v>249</v>
      </c>
      <c r="AU22" s="824" t="s">
        <v>249</v>
      </c>
      <c r="AV22" s="823">
        <v>361</v>
      </c>
      <c r="AW22" s="823">
        <v>408</v>
      </c>
      <c r="AX22" s="823">
        <v>388</v>
      </c>
      <c r="AY22" s="823">
        <v>374</v>
      </c>
      <c r="AZ22" s="824">
        <f t="shared" si="10"/>
        <v>1531</v>
      </c>
      <c r="BA22" s="825">
        <v>334</v>
      </c>
      <c r="BB22" s="825">
        <v>374</v>
      </c>
      <c r="BC22" s="825">
        <v>400</v>
      </c>
      <c r="BD22" s="825">
        <v>390</v>
      </c>
      <c r="BE22" s="826">
        <f t="shared" si="11"/>
        <v>1498</v>
      </c>
      <c r="BF22" s="825">
        <v>335</v>
      </c>
      <c r="BG22" s="825">
        <v>379</v>
      </c>
      <c r="BH22" s="825">
        <v>403</v>
      </c>
      <c r="BI22" s="825">
        <v>411.91489361702128</v>
      </c>
      <c r="BJ22" s="826">
        <f t="shared" si="12"/>
        <v>1528.9148936170213</v>
      </c>
    </row>
    <row r="23" spans="2:62" s="827" customFormat="1" ht="11.25" customHeight="1">
      <c r="B23" s="822" t="str">
        <f>names!$A229</f>
        <v>ON</v>
      </c>
      <c r="C23" s="823" t="s">
        <v>249</v>
      </c>
      <c r="D23" s="823" t="s">
        <v>249</v>
      </c>
      <c r="E23" s="823" t="s">
        <v>249</v>
      </c>
      <c r="F23" s="823" t="s">
        <v>249</v>
      </c>
      <c r="G23" s="824" t="s">
        <v>249</v>
      </c>
      <c r="H23" s="823" t="s">
        <v>249</v>
      </c>
      <c r="I23" s="823" t="s">
        <v>249</v>
      </c>
      <c r="J23" s="823" t="s">
        <v>249</v>
      </c>
      <c r="K23" s="823" t="s">
        <v>249</v>
      </c>
      <c r="L23" s="824" t="s">
        <v>249</v>
      </c>
      <c r="M23" s="823" t="s">
        <v>249</v>
      </c>
      <c r="N23" s="823" t="s">
        <v>249</v>
      </c>
      <c r="O23" s="823" t="s">
        <v>249</v>
      </c>
      <c r="P23" s="823" t="s">
        <v>249</v>
      </c>
      <c r="Q23" s="824" t="s">
        <v>249</v>
      </c>
      <c r="R23" s="823" t="s">
        <v>249</v>
      </c>
      <c r="S23" s="823" t="s">
        <v>249</v>
      </c>
      <c r="T23" s="823" t="s">
        <v>249</v>
      </c>
      <c r="U23" s="823" t="s">
        <v>249</v>
      </c>
      <c r="V23" s="824" t="s">
        <v>249</v>
      </c>
      <c r="W23" s="823" t="s">
        <v>249</v>
      </c>
      <c r="X23" s="823" t="s">
        <v>249</v>
      </c>
      <c r="Y23" s="823" t="s">
        <v>249</v>
      </c>
      <c r="Z23" s="823" t="s">
        <v>249</v>
      </c>
      <c r="AA23" s="824" t="s">
        <v>249</v>
      </c>
      <c r="AB23" s="823" t="s">
        <v>249</v>
      </c>
      <c r="AC23" s="823" t="s">
        <v>249</v>
      </c>
      <c r="AD23" s="823" t="s">
        <v>249</v>
      </c>
      <c r="AE23" s="823" t="s">
        <v>249</v>
      </c>
      <c r="AF23" s="824" t="s">
        <v>249</v>
      </c>
      <c r="AG23" s="823" t="s">
        <v>249</v>
      </c>
      <c r="AH23" s="823" t="s">
        <v>249</v>
      </c>
      <c r="AI23" s="823" t="s">
        <v>249</v>
      </c>
      <c r="AJ23" s="823" t="s">
        <v>249</v>
      </c>
      <c r="AK23" s="824" t="s">
        <v>249</v>
      </c>
      <c r="AL23" s="823" t="s">
        <v>249</v>
      </c>
      <c r="AM23" s="823" t="s">
        <v>249</v>
      </c>
      <c r="AN23" s="823" t="s">
        <v>249</v>
      </c>
      <c r="AO23" s="823" t="s">
        <v>249</v>
      </c>
      <c r="AP23" s="824" t="s">
        <v>249</v>
      </c>
      <c r="AQ23" s="823" t="s">
        <v>249</v>
      </c>
      <c r="AR23" s="823" t="s">
        <v>249</v>
      </c>
      <c r="AS23" s="823" t="s">
        <v>249</v>
      </c>
      <c r="AT23" s="823" t="s">
        <v>249</v>
      </c>
      <c r="AU23" s="824" t="s">
        <v>249</v>
      </c>
      <c r="AV23" s="823">
        <v>982</v>
      </c>
      <c r="AW23" s="823">
        <v>1070</v>
      </c>
      <c r="AX23" s="823">
        <v>1005</v>
      </c>
      <c r="AY23" s="823">
        <v>920</v>
      </c>
      <c r="AZ23" s="824">
        <f t="shared" si="10"/>
        <v>3977</v>
      </c>
      <c r="BA23" s="825">
        <v>798</v>
      </c>
      <c r="BB23" s="825">
        <v>925</v>
      </c>
      <c r="BC23" s="825">
        <v>1028</v>
      </c>
      <c r="BD23" s="825">
        <v>1010</v>
      </c>
      <c r="BE23" s="826">
        <f t="shared" si="11"/>
        <v>3761</v>
      </c>
      <c r="BF23" s="825">
        <v>812</v>
      </c>
      <c r="BG23" s="825">
        <v>954</v>
      </c>
      <c r="BH23" s="825">
        <v>1002</v>
      </c>
      <c r="BI23" s="825">
        <v>1015</v>
      </c>
      <c r="BJ23" s="826">
        <f t="shared" si="12"/>
        <v>3783</v>
      </c>
    </row>
    <row r="24" spans="2:62">
      <c r="B24" s="819" t="str">
        <f>names!$A230</f>
        <v>Austria</v>
      </c>
      <c r="C24" s="820" t="s">
        <v>249</v>
      </c>
      <c r="D24" s="820" t="s">
        <v>249</v>
      </c>
      <c r="E24" s="820" t="s">
        <v>249</v>
      </c>
      <c r="F24" s="820" t="s">
        <v>249</v>
      </c>
      <c r="G24" s="821" t="s">
        <v>249</v>
      </c>
      <c r="H24" s="820" t="s">
        <v>249</v>
      </c>
      <c r="I24" s="820" t="s">
        <v>249</v>
      </c>
      <c r="J24" s="820" t="s">
        <v>249</v>
      </c>
      <c r="K24" s="820" t="s">
        <v>249</v>
      </c>
      <c r="L24" s="821" t="s">
        <v>249</v>
      </c>
      <c r="M24" s="820" t="s">
        <v>249</v>
      </c>
      <c r="N24" s="820" t="s">
        <v>249</v>
      </c>
      <c r="O24" s="820" t="s">
        <v>249</v>
      </c>
      <c r="P24" s="820" t="s">
        <v>249</v>
      </c>
      <c r="Q24" s="821" t="s">
        <v>249</v>
      </c>
      <c r="R24" s="820" t="s">
        <v>249</v>
      </c>
      <c r="S24" s="820" t="s">
        <v>249</v>
      </c>
      <c r="T24" s="820" t="s">
        <v>249</v>
      </c>
      <c r="U24" s="820" t="s">
        <v>249</v>
      </c>
      <c r="V24" s="821" t="s">
        <v>249</v>
      </c>
      <c r="W24" s="820" t="s">
        <v>249</v>
      </c>
      <c r="X24" s="820" t="s">
        <v>249</v>
      </c>
      <c r="Y24" s="820" t="s">
        <v>249</v>
      </c>
      <c r="Z24" s="820" t="s">
        <v>249</v>
      </c>
      <c r="AA24" s="821" t="s">
        <v>249</v>
      </c>
      <c r="AB24" s="820" t="s">
        <v>249</v>
      </c>
      <c r="AC24" s="820" t="s">
        <v>249</v>
      </c>
      <c r="AD24" s="820" t="s">
        <v>249</v>
      </c>
      <c r="AE24" s="820" t="s">
        <v>249</v>
      </c>
      <c r="AF24" s="821" t="s">
        <v>249</v>
      </c>
      <c r="AG24" s="820" t="s">
        <v>249</v>
      </c>
      <c r="AH24" s="820" t="s">
        <v>249</v>
      </c>
      <c r="AI24" s="820" t="s">
        <v>249</v>
      </c>
      <c r="AJ24" s="820" t="s">
        <v>249</v>
      </c>
      <c r="AK24" s="821" t="s">
        <v>249</v>
      </c>
      <c r="AL24" s="820" t="s">
        <v>249</v>
      </c>
      <c r="AM24" s="820" t="s">
        <v>249</v>
      </c>
      <c r="AN24" s="820" t="s">
        <v>249</v>
      </c>
      <c r="AO24" s="820" t="s">
        <v>249</v>
      </c>
      <c r="AP24" s="821" t="s">
        <v>249</v>
      </c>
      <c r="AQ24" s="820" t="s">
        <v>249</v>
      </c>
      <c r="AR24" s="820" t="s">
        <v>249</v>
      </c>
      <c r="AS24" s="820" t="s">
        <v>249</v>
      </c>
      <c r="AT24" s="820" t="s">
        <v>249</v>
      </c>
      <c r="AU24" s="821" t="s">
        <v>249</v>
      </c>
      <c r="AV24" s="820" t="s">
        <v>249</v>
      </c>
      <c r="AW24" s="820" t="s">
        <v>249</v>
      </c>
      <c r="AX24" s="820" t="s">
        <v>249</v>
      </c>
      <c r="AY24" s="820" t="s">
        <v>249</v>
      </c>
      <c r="AZ24" s="821" t="s">
        <v>249</v>
      </c>
      <c r="BA24" s="820">
        <f t="shared" ref="BA24:BD24" si="18">BA25+BA26</f>
        <v>1688.5100000000002</v>
      </c>
      <c r="BB24" s="820">
        <f t="shared" si="18"/>
        <v>1918.23</v>
      </c>
      <c r="BC24" s="820">
        <f t="shared" si="18"/>
        <v>1989.02</v>
      </c>
      <c r="BD24" s="820">
        <f t="shared" si="18"/>
        <v>1941.44</v>
      </c>
      <c r="BE24" s="821">
        <f t="shared" si="11"/>
        <v>7537.2000000000007</v>
      </c>
      <c r="BF24" s="820">
        <f t="shared" ref="BF24:BI24" si="19">BF25+BF26</f>
        <v>1670.4880000000001</v>
      </c>
      <c r="BG24" s="820">
        <f t="shared" si="19"/>
        <v>1870.4249999999997</v>
      </c>
      <c r="BH24" s="820">
        <f t="shared" si="19"/>
        <v>1934.492</v>
      </c>
      <c r="BI24" s="820">
        <f t="shared" si="19"/>
        <v>1833.0250000000001</v>
      </c>
      <c r="BJ24" s="821">
        <f t="shared" si="12"/>
        <v>7308.43</v>
      </c>
    </row>
    <row r="25" spans="2:62" s="827" customFormat="1" ht="11.25" customHeight="1">
      <c r="B25" s="822" t="str">
        <f>names!$A231</f>
        <v>Benzyny</v>
      </c>
      <c r="C25" s="823" t="s">
        <v>249</v>
      </c>
      <c r="D25" s="823" t="s">
        <v>249</v>
      </c>
      <c r="E25" s="823" t="s">
        <v>249</v>
      </c>
      <c r="F25" s="823" t="s">
        <v>249</v>
      </c>
      <c r="G25" s="824" t="s">
        <v>249</v>
      </c>
      <c r="H25" s="823" t="s">
        <v>249</v>
      </c>
      <c r="I25" s="823" t="s">
        <v>249</v>
      </c>
      <c r="J25" s="823" t="s">
        <v>249</v>
      </c>
      <c r="K25" s="823" t="s">
        <v>249</v>
      </c>
      <c r="L25" s="824" t="s">
        <v>249</v>
      </c>
      <c r="M25" s="823" t="s">
        <v>249</v>
      </c>
      <c r="N25" s="823" t="s">
        <v>249</v>
      </c>
      <c r="O25" s="823" t="s">
        <v>249</v>
      </c>
      <c r="P25" s="823" t="s">
        <v>249</v>
      </c>
      <c r="Q25" s="824" t="s">
        <v>249</v>
      </c>
      <c r="R25" s="823" t="s">
        <v>249</v>
      </c>
      <c r="S25" s="823" t="s">
        <v>249</v>
      </c>
      <c r="T25" s="823" t="s">
        <v>249</v>
      </c>
      <c r="U25" s="823" t="s">
        <v>249</v>
      </c>
      <c r="V25" s="824" t="s">
        <v>249</v>
      </c>
      <c r="W25" s="823" t="s">
        <v>249</v>
      </c>
      <c r="X25" s="823" t="s">
        <v>249</v>
      </c>
      <c r="Y25" s="823" t="s">
        <v>249</v>
      </c>
      <c r="Z25" s="823" t="s">
        <v>249</v>
      </c>
      <c r="AA25" s="824" t="s">
        <v>249</v>
      </c>
      <c r="AB25" s="823" t="s">
        <v>249</v>
      </c>
      <c r="AC25" s="823" t="s">
        <v>249</v>
      </c>
      <c r="AD25" s="823" t="s">
        <v>249</v>
      </c>
      <c r="AE25" s="823" t="s">
        <v>249</v>
      </c>
      <c r="AF25" s="824" t="s">
        <v>249</v>
      </c>
      <c r="AG25" s="823" t="s">
        <v>249</v>
      </c>
      <c r="AH25" s="823" t="s">
        <v>249</v>
      </c>
      <c r="AI25" s="823" t="s">
        <v>249</v>
      </c>
      <c r="AJ25" s="823" t="s">
        <v>249</v>
      </c>
      <c r="AK25" s="824" t="s">
        <v>249</v>
      </c>
      <c r="AL25" s="823" t="s">
        <v>249</v>
      </c>
      <c r="AM25" s="823" t="s">
        <v>249</v>
      </c>
      <c r="AN25" s="823" t="s">
        <v>249</v>
      </c>
      <c r="AO25" s="823" t="s">
        <v>249</v>
      </c>
      <c r="AP25" s="824" t="s">
        <v>249</v>
      </c>
      <c r="AQ25" s="823" t="s">
        <v>249</v>
      </c>
      <c r="AR25" s="823" t="s">
        <v>249</v>
      </c>
      <c r="AS25" s="823" t="s">
        <v>249</v>
      </c>
      <c r="AT25" s="823" t="s">
        <v>249</v>
      </c>
      <c r="AU25" s="824" t="s">
        <v>249</v>
      </c>
      <c r="AV25" s="823" t="s">
        <v>249</v>
      </c>
      <c r="AW25" s="823" t="s">
        <v>249</v>
      </c>
      <c r="AX25" s="823" t="s">
        <v>249</v>
      </c>
      <c r="AY25" s="823" t="s">
        <v>249</v>
      </c>
      <c r="AZ25" s="824" t="s">
        <v>249</v>
      </c>
      <c r="BA25" s="825">
        <v>351.92999999999995</v>
      </c>
      <c r="BB25" s="825">
        <v>421.38</v>
      </c>
      <c r="BC25" s="825">
        <v>473.07999999999993</v>
      </c>
      <c r="BD25" s="825">
        <v>467.41999999999996</v>
      </c>
      <c r="BE25" s="826">
        <f t="shared" si="11"/>
        <v>1713.81</v>
      </c>
      <c r="BF25" s="825">
        <v>370.51700000000005</v>
      </c>
      <c r="BG25" s="825">
        <v>424.45699999999999</v>
      </c>
      <c r="BH25" s="825">
        <v>464.48199999999997</v>
      </c>
      <c r="BI25" s="825">
        <v>405.02499999999998</v>
      </c>
      <c r="BJ25" s="826">
        <f t="shared" si="12"/>
        <v>1664.4810000000002</v>
      </c>
    </row>
    <row r="26" spans="2:62" s="827" customFormat="1" ht="11.25" customHeight="1">
      <c r="B26" s="822" t="str">
        <f>names!$A232</f>
        <v>ON</v>
      </c>
      <c r="C26" s="823" t="s">
        <v>249</v>
      </c>
      <c r="D26" s="823" t="s">
        <v>249</v>
      </c>
      <c r="E26" s="823" t="s">
        <v>249</v>
      </c>
      <c r="F26" s="823" t="s">
        <v>249</v>
      </c>
      <c r="G26" s="824" t="s">
        <v>249</v>
      </c>
      <c r="H26" s="823" t="s">
        <v>249</v>
      </c>
      <c r="I26" s="823" t="s">
        <v>249</v>
      </c>
      <c r="J26" s="823" t="s">
        <v>249</v>
      </c>
      <c r="K26" s="823" t="s">
        <v>249</v>
      </c>
      <c r="L26" s="824" t="s">
        <v>249</v>
      </c>
      <c r="M26" s="823" t="s">
        <v>249</v>
      </c>
      <c r="N26" s="823" t="s">
        <v>249</v>
      </c>
      <c r="O26" s="823" t="s">
        <v>249</v>
      </c>
      <c r="P26" s="823" t="s">
        <v>249</v>
      </c>
      <c r="Q26" s="824" t="s">
        <v>249</v>
      </c>
      <c r="R26" s="823" t="s">
        <v>249</v>
      </c>
      <c r="S26" s="823" t="s">
        <v>249</v>
      </c>
      <c r="T26" s="823" t="s">
        <v>249</v>
      </c>
      <c r="U26" s="823" t="s">
        <v>249</v>
      </c>
      <c r="V26" s="824" t="s">
        <v>249</v>
      </c>
      <c r="W26" s="823" t="s">
        <v>249</v>
      </c>
      <c r="X26" s="823" t="s">
        <v>249</v>
      </c>
      <c r="Y26" s="823" t="s">
        <v>249</v>
      </c>
      <c r="Z26" s="823" t="s">
        <v>249</v>
      </c>
      <c r="AA26" s="824" t="s">
        <v>249</v>
      </c>
      <c r="AB26" s="823" t="s">
        <v>249</v>
      </c>
      <c r="AC26" s="823" t="s">
        <v>249</v>
      </c>
      <c r="AD26" s="823" t="s">
        <v>249</v>
      </c>
      <c r="AE26" s="823" t="s">
        <v>249</v>
      </c>
      <c r="AF26" s="824" t="s">
        <v>249</v>
      </c>
      <c r="AG26" s="823" t="s">
        <v>249</v>
      </c>
      <c r="AH26" s="823" t="s">
        <v>249</v>
      </c>
      <c r="AI26" s="823" t="s">
        <v>249</v>
      </c>
      <c r="AJ26" s="823" t="s">
        <v>249</v>
      </c>
      <c r="AK26" s="824" t="s">
        <v>249</v>
      </c>
      <c r="AL26" s="823" t="s">
        <v>249</v>
      </c>
      <c r="AM26" s="823" t="s">
        <v>249</v>
      </c>
      <c r="AN26" s="823" t="s">
        <v>249</v>
      </c>
      <c r="AO26" s="823" t="s">
        <v>249</v>
      </c>
      <c r="AP26" s="824" t="s">
        <v>249</v>
      </c>
      <c r="AQ26" s="823" t="s">
        <v>249</v>
      </c>
      <c r="AR26" s="823" t="s">
        <v>249</v>
      </c>
      <c r="AS26" s="823" t="s">
        <v>249</v>
      </c>
      <c r="AT26" s="823" t="s">
        <v>249</v>
      </c>
      <c r="AU26" s="824" t="s">
        <v>249</v>
      </c>
      <c r="AV26" s="823" t="s">
        <v>249</v>
      </c>
      <c r="AW26" s="823" t="s">
        <v>249</v>
      </c>
      <c r="AX26" s="823" t="s">
        <v>249</v>
      </c>
      <c r="AY26" s="823" t="s">
        <v>249</v>
      </c>
      <c r="AZ26" s="824" t="s">
        <v>249</v>
      </c>
      <c r="BA26" s="825">
        <v>1336.5800000000002</v>
      </c>
      <c r="BB26" s="825">
        <v>1496.8500000000001</v>
      </c>
      <c r="BC26" s="825">
        <v>1515.94</v>
      </c>
      <c r="BD26" s="825">
        <v>1474.02</v>
      </c>
      <c r="BE26" s="826">
        <f t="shared" si="11"/>
        <v>5823.3900000000012</v>
      </c>
      <c r="BF26" s="825">
        <v>1299.971</v>
      </c>
      <c r="BG26" s="825">
        <v>1445.9679999999998</v>
      </c>
      <c r="BH26" s="825">
        <v>1470.01</v>
      </c>
      <c r="BI26" s="825">
        <v>1428</v>
      </c>
      <c r="BJ26" s="826">
        <f t="shared" si="12"/>
        <v>5643.9489999999996</v>
      </c>
    </row>
    <row r="27" spans="2:62" s="827" customFormat="1" ht="6.75" customHeight="1" thickBot="1">
      <c r="B27" s="828"/>
      <c r="C27" s="829"/>
      <c r="D27" s="829"/>
      <c r="E27" s="829"/>
      <c r="F27" s="829"/>
      <c r="G27" s="830"/>
      <c r="H27" s="829"/>
      <c r="I27" s="829"/>
      <c r="J27" s="829"/>
      <c r="K27" s="829"/>
      <c r="L27" s="830"/>
      <c r="M27" s="829"/>
      <c r="N27" s="829"/>
      <c r="O27" s="829"/>
      <c r="P27" s="829"/>
      <c r="Q27" s="830"/>
      <c r="R27" s="829"/>
      <c r="S27" s="829"/>
      <c r="T27" s="829"/>
      <c r="U27" s="829"/>
      <c r="V27" s="830"/>
      <c r="W27" s="829"/>
      <c r="X27" s="829"/>
      <c r="Y27" s="829"/>
      <c r="Z27" s="829"/>
      <c r="AA27" s="830"/>
      <c r="AB27" s="829"/>
      <c r="AC27" s="829"/>
      <c r="AD27" s="829"/>
      <c r="AE27" s="829"/>
      <c r="AF27" s="830"/>
      <c r="AG27" s="829"/>
      <c r="AH27" s="829"/>
      <c r="AI27" s="829"/>
      <c r="AJ27" s="829"/>
      <c r="AK27" s="830"/>
      <c r="AL27" s="829"/>
      <c r="AM27" s="829"/>
      <c r="AN27" s="829"/>
      <c r="AO27" s="829"/>
      <c r="AP27" s="830"/>
      <c r="AQ27" s="829"/>
      <c r="AR27" s="829"/>
      <c r="AS27" s="829"/>
      <c r="AT27" s="829"/>
      <c r="AU27" s="830"/>
      <c r="AV27" s="829"/>
      <c r="AW27" s="829"/>
      <c r="AX27" s="829"/>
      <c r="AY27" s="829"/>
      <c r="AZ27" s="830"/>
      <c r="BA27" s="829"/>
      <c r="BB27" s="829"/>
      <c r="BC27" s="829"/>
      <c r="BD27" s="829"/>
      <c r="BE27" s="830"/>
      <c r="BF27" s="829"/>
      <c r="BG27" s="829"/>
      <c r="BH27" s="829"/>
      <c r="BI27" s="829"/>
      <c r="BJ27" s="830"/>
    </row>
    <row r="28" spans="2:62" ht="17.25" customHeight="1">
      <c r="B28" s="831" t="str">
        <f>names!$A233</f>
        <v xml:space="preserve">1) Szacunki własne opracowane na bazie dostępnych danych Agencji Rynku Energii S.A., Litewskiego Urzędu Statystycznego, Czeskiego Urzędu Statystycznego i Niemieckiego Stowarzyszenia Przemysłu Naftowego oraz danych Eurostat. </v>
      </c>
      <c r="C28" s="832"/>
      <c r="D28" s="833"/>
      <c r="E28" s="833"/>
      <c r="F28" s="833"/>
      <c r="G28" s="833"/>
      <c r="H28" s="833"/>
      <c r="I28" s="833"/>
      <c r="J28" s="833"/>
      <c r="K28" s="833"/>
      <c r="L28" s="833"/>
      <c r="M28" s="833"/>
      <c r="N28" s="833"/>
      <c r="O28" s="833"/>
      <c r="P28" s="833"/>
      <c r="Q28" s="833"/>
      <c r="R28" s="833"/>
      <c r="S28" s="833"/>
      <c r="T28" s="833"/>
      <c r="U28" s="833"/>
      <c r="V28" s="833"/>
    </row>
    <row r="29" spans="2:62">
      <c r="C29" s="834"/>
      <c r="D29" s="834"/>
      <c r="E29" s="834"/>
      <c r="F29" s="834"/>
      <c r="G29" s="834"/>
      <c r="H29" s="834"/>
      <c r="I29" s="834"/>
      <c r="J29" s="834"/>
      <c r="K29" s="834"/>
      <c r="L29" s="834"/>
      <c r="M29" s="834"/>
      <c r="N29" s="834"/>
      <c r="O29" s="834"/>
      <c r="P29" s="834"/>
      <c r="Q29" s="834"/>
      <c r="R29" s="834"/>
      <c r="S29" s="834"/>
      <c r="T29" s="834"/>
      <c r="U29" s="834"/>
      <c r="V29" s="834"/>
      <c r="W29" s="834"/>
      <c r="X29" s="834"/>
      <c r="Y29" s="834"/>
      <c r="Z29" s="834"/>
      <c r="AA29" s="834"/>
      <c r="AB29" s="834"/>
      <c r="AC29" s="834"/>
      <c r="AD29" s="834"/>
      <c r="AE29" s="834"/>
      <c r="AF29" s="834"/>
      <c r="AG29" s="834"/>
      <c r="AH29" s="834"/>
      <c r="AI29" s="834"/>
      <c r="AJ29" s="834"/>
      <c r="AK29" s="834"/>
      <c r="AL29" s="834"/>
      <c r="AM29" s="834"/>
      <c r="AN29" s="834"/>
      <c r="AO29" s="834"/>
      <c r="AP29" s="834"/>
      <c r="AQ29" s="834"/>
      <c r="AR29" s="834"/>
      <c r="AS29" s="834"/>
      <c r="AT29" s="834"/>
      <c r="AU29" s="834"/>
      <c r="AV29" s="834"/>
      <c r="AW29" s="834"/>
      <c r="AX29" s="834"/>
      <c r="AY29" s="834"/>
      <c r="AZ29" s="834"/>
      <c r="BA29" s="834"/>
      <c r="BB29" s="834"/>
      <c r="BC29" s="834"/>
      <c r="BD29" s="834"/>
      <c r="BE29" s="834"/>
      <c r="BF29" s="834"/>
      <c r="BG29" s="834"/>
      <c r="BH29" s="834"/>
      <c r="BI29" s="834"/>
      <c r="BJ29" s="834"/>
    </row>
    <row r="30" spans="2:62">
      <c r="C30" s="834"/>
      <c r="D30" s="834"/>
      <c r="E30" s="834"/>
      <c r="F30" s="834"/>
      <c r="G30" s="834"/>
      <c r="H30" s="834"/>
      <c r="I30" s="834"/>
      <c r="J30" s="834"/>
      <c r="K30" s="834"/>
      <c r="L30" s="834"/>
      <c r="M30" s="834"/>
      <c r="N30" s="834"/>
      <c r="O30" s="834"/>
      <c r="P30" s="834"/>
      <c r="Q30" s="834"/>
      <c r="R30" s="834"/>
      <c r="S30" s="834"/>
      <c r="T30" s="834"/>
      <c r="U30" s="834"/>
      <c r="V30" s="834"/>
      <c r="W30" s="834"/>
      <c r="X30" s="834"/>
      <c r="Y30" s="834"/>
      <c r="Z30" s="834"/>
      <c r="AA30" s="834"/>
      <c r="AB30" s="834"/>
      <c r="AC30" s="834"/>
      <c r="AD30" s="834"/>
      <c r="AE30" s="834"/>
      <c r="AF30" s="834"/>
      <c r="AG30" s="834"/>
      <c r="AH30" s="834"/>
      <c r="AI30" s="834"/>
      <c r="AJ30" s="834"/>
      <c r="AK30" s="834"/>
      <c r="AL30" s="834"/>
      <c r="AM30" s="834"/>
      <c r="AN30" s="834"/>
      <c r="AO30" s="834"/>
      <c r="AP30" s="834"/>
      <c r="AQ30" s="834"/>
      <c r="AR30" s="834"/>
      <c r="AS30" s="834"/>
      <c r="AT30" s="834"/>
      <c r="AU30" s="834"/>
      <c r="AV30" s="834"/>
      <c r="AW30" s="834"/>
      <c r="AX30" s="834"/>
      <c r="AY30" s="834"/>
      <c r="AZ30" s="834"/>
      <c r="BA30" s="834"/>
      <c r="BB30" s="834"/>
      <c r="BC30" s="834"/>
      <c r="BD30" s="834"/>
      <c r="BE30" s="834"/>
      <c r="BF30" s="834"/>
      <c r="BG30" s="834"/>
      <c r="BH30" s="834"/>
      <c r="BI30" s="834"/>
      <c r="BJ30" s="834"/>
    </row>
    <row r="31" spans="2:62">
      <c r="C31" s="835"/>
      <c r="D31" s="835"/>
      <c r="E31" s="835"/>
      <c r="F31" s="835"/>
      <c r="G31" s="835"/>
      <c r="H31" s="835"/>
      <c r="I31" s="835"/>
      <c r="J31" s="835"/>
      <c r="K31" s="835"/>
      <c r="L31" s="835"/>
      <c r="M31" s="835"/>
      <c r="N31" s="835"/>
      <c r="O31" s="835"/>
      <c r="P31" s="835"/>
      <c r="Q31" s="835"/>
      <c r="R31" s="835"/>
      <c r="S31" s="835"/>
      <c r="T31" s="835"/>
      <c r="U31" s="835"/>
      <c r="V31" s="835"/>
      <c r="W31" s="835"/>
      <c r="X31" s="835"/>
      <c r="Y31" s="835"/>
      <c r="Z31" s="835"/>
      <c r="AA31" s="835"/>
      <c r="AB31" s="835"/>
      <c r="AC31" s="835"/>
      <c r="AD31" s="835"/>
      <c r="AE31" s="835"/>
      <c r="AF31" s="835"/>
      <c r="AG31" s="835"/>
      <c r="AH31" s="835"/>
      <c r="AI31" s="835"/>
      <c r="AJ31" s="835"/>
      <c r="AK31" s="835"/>
      <c r="AL31" s="835"/>
      <c r="AM31" s="835"/>
      <c r="AN31" s="835"/>
      <c r="AO31" s="835"/>
      <c r="AP31" s="835"/>
      <c r="AQ31" s="835"/>
      <c r="AR31" s="835"/>
      <c r="AS31" s="835"/>
      <c r="AT31" s="835"/>
      <c r="AU31" s="835"/>
      <c r="AV31" s="835"/>
      <c r="AW31" s="835"/>
      <c r="AX31" s="835"/>
      <c r="AY31" s="835"/>
      <c r="AZ31" s="835"/>
      <c r="BA31" s="835"/>
      <c r="BB31" s="835"/>
      <c r="BC31" s="835"/>
      <c r="BD31" s="835"/>
      <c r="BE31" s="835"/>
      <c r="BF31" s="835"/>
      <c r="BG31" s="835"/>
      <c r="BH31" s="835"/>
      <c r="BI31" s="835"/>
      <c r="BJ31" s="835"/>
    </row>
    <row r="32" spans="2:62">
      <c r="C32" s="834"/>
      <c r="D32" s="834"/>
      <c r="E32" s="834"/>
      <c r="F32" s="834"/>
      <c r="G32" s="834"/>
      <c r="H32" s="834"/>
      <c r="I32" s="834"/>
      <c r="J32" s="834"/>
      <c r="K32" s="834"/>
      <c r="L32" s="834"/>
      <c r="M32" s="834"/>
      <c r="N32" s="834"/>
      <c r="O32" s="834"/>
      <c r="P32" s="834"/>
      <c r="Q32" s="834"/>
      <c r="R32" s="834"/>
      <c r="S32" s="834"/>
      <c r="T32" s="834"/>
      <c r="U32" s="834"/>
      <c r="V32" s="834"/>
      <c r="W32" s="834"/>
      <c r="X32" s="834"/>
      <c r="Y32" s="834"/>
      <c r="Z32" s="834"/>
      <c r="AA32" s="834"/>
      <c r="AB32" s="834"/>
      <c r="AC32" s="834"/>
      <c r="AD32" s="834"/>
      <c r="AE32" s="834"/>
      <c r="AF32" s="834"/>
      <c r="AG32" s="834"/>
      <c r="AH32" s="834"/>
      <c r="AI32" s="834"/>
      <c r="AJ32" s="834"/>
      <c r="AK32" s="834"/>
      <c r="AL32" s="834"/>
      <c r="AM32" s="834"/>
      <c r="AN32" s="834"/>
      <c r="AO32" s="834"/>
      <c r="AP32" s="834"/>
      <c r="AQ32" s="834"/>
      <c r="AR32" s="834"/>
      <c r="AS32" s="834"/>
      <c r="AT32" s="834"/>
      <c r="AU32" s="834"/>
      <c r="AV32" s="834"/>
      <c r="AW32" s="834"/>
      <c r="AX32" s="834"/>
      <c r="AY32" s="834"/>
      <c r="AZ32" s="834"/>
      <c r="BA32" s="836"/>
      <c r="BB32" s="836"/>
      <c r="BC32" s="836"/>
      <c r="BD32" s="836"/>
      <c r="BE32" s="836"/>
      <c r="BF32" s="836"/>
      <c r="BG32" s="834"/>
      <c r="BH32" s="834"/>
      <c r="BI32" s="834"/>
      <c r="BJ32" s="834"/>
    </row>
  </sheetData>
  <conditionalFormatting sqref="C31:BJ31">
    <cfRule type="cellIs" dxfId="107" priority="2" operator="equal">
      <formula>FALSE</formula>
    </cfRule>
  </conditionalFormatting>
  <printOptions horizontalCentered="1"/>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1">
    <tabColor theme="0" tint="-0.34998626667073579"/>
    <pageSetUpPr fitToPage="1"/>
  </sheetPr>
  <dimension ref="B1:AQ144"/>
  <sheetViews>
    <sheetView showGridLines="0" view="pageBreakPreview" zoomScaleNormal="85" zoomScaleSheetLayoutView="100" workbookViewId="0">
      <pane xSplit="2" ySplit="5" topLeftCell="C14"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style="268" customWidth="1"/>
    <col min="2" max="2" width="97.42578125" style="268" customWidth="1"/>
    <col min="3" max="4" width="9.7109375" style="268" hidden="1" customWidth="1" outlineLevel="1"/>
    <col min="5" max="5" width="6.28515625" style="268" hidden="1" customWidth="1" outlineLevel="1"/>
    <col min="6" max="6" width="2.7109375" style="268" hidden="1" customWidth="1" outlineLevel="1"/>
    <col min="7" max="7" width="9.7109375" style="268" customWidth="1" collapsed="1"/>
    <col min="8" max="11" width="9.7109375" style="268" hidden="1" customWidth="1" outlineLevel="1"/>
    <col min="12" max="12" width="9.7109375" style="268" customWidth="1" collapsed="1"/>
    <col min="13" max="16" width="9.7109375" style="268" hidden="1" customWidth="1" outlineLevel="1"/>
    <col min="17" max="17" width="9.7109375" style="268" customWidth="1" collapsed="1"/>
    <col min="18" max="21" width="9.7109375" style="268" hidden="1" customWidth="1" outlineLevel="1"/>
    <col min="22" max="22" width="9.7109375" style="268" customWidth="1" collapsed="1"/>
    <col min="23" max="26" width="9.7109375" style="268" hidden="1" customWidth="1" outlineLevel="1"/>
    <col min="27" max="27" width="9.7109375" style="268" customWidth="1" collapsed="1"/>
    <col min="28" max="31" width="9.7109375" style="268" hidden="1" customWidth="1" outlineLevel="1"/>
    <col min="32" max="32" width="9.7109375" style="268" customWidth="1" collapsed="1"/>
    <col min="33" max="36" width="9.7109375" style="268" hidden="1" customWidth="1" outlineLevel="1"/>
    <col min="37" max="37" width="9.7109375" style="268" customWidth="1" collapsed="1"/>
    <col min="38" max="38" width="9.7109375" style="268" hidden="1" customWidth="1"/>
    <col min="39" max="16384" width="9.28515625" style="268"/>
  </cols>
  <sheetData>
    <row r="1" spans="2:39">
      <c r="P1" s="269"/>
      <c r="Q1" s="269"/>
      <c r="U1" s="269"/>
      <c r="V1" s="269"/>
      <c r="Z1" s="269"/>
      <c r="AA1" s="269"/>
      <c r="AE1" s="269"/>
      <c r="AF1" s="269"/>
      <c r="AJ1" s="269"/>
      <c r="AK1" s="269"/>
    </row>
    <row r="2" spans="2:39" ht="15.75">
      <c r="B2" s="395" t="str">
        <f>names!$A1003</f>
        <v>Kluczowe dane finansowe</v>
      </c>
      <c r="J2" s="269"/>
      <c r="M2" s="269"/>
      <c r="N2" s="269"/>
      <c r="O2" s="269"/>
      <c r="R2" s="269"/>
      <c r="S2" s="269"/>
      <c r="T2" s="269"/>
      <c r="W2" s="269"/>
      <c r="X2" s="269"/>
      <c r="Y2" s="269"/>
      <c r="AB2" s="269"/>
      <c r="AC2" s="269"/>
      <c r="AD2" s="269"/>
      <c r="AL2" s="269"/>
      <c r="AM2" s="577"/>
    </row>
    <row r="3" spans="2:39" ht="6" customHeight="1">
      <c r="AM3" s="577"/>
    </row>
    <row r="4" spans="2:39" ht="42.75" customHeight="1">
      <c r="B4" s="270" t="str">
        <f>names!$A1005</f>
        <v>Kluczowe dane finansowe
[mln PLN]</v>
      </c>
      <c r="C4" s="271" t="str">
        <f>names!$A499</f>
        <v>I kw.
2013 *</v>
      </c>
      <c r="D4" s="271" t="str">
        <f>names!$A500</f>
        <v>II kw.
2013 *</v>
      </c>
      <c r="E4" s="271" t="str">
        <f>names!$A501</f>
        <v>III kw.
2013 *</v>
      </c>
      <c r="F4" s="271" t="str">
        <f>names!$A502</f>
        <v>IV kw.
2013 *</v>
      </c>
      <c r="G4" s="271" t="str">
        <f>names!$A503</f>
        <v>12 m-cy
2013 *</v>
      </c>
      <c r="H4" s="271" t="str">
        <f>names!$A504</f>
        <v>I kw.
2014</v>
      </c>
      <c r="I4" s="271" t="str">
        <f>names!$A505</f>
        <v>II kw.
2014</v>
      </c>
      <c r="J4" s="271" t="str">
        <f>names!$A506</f>
        <v>III kw.
2014</v>
      </c>
      <c r="K4" s="271" t="str">
        <f>names!$A507</f>
        <v>IV kw.
2014</v>
      </c>
      <c r="L4" s="271" t="str">
        <f>names!$A508</f>
        <v>12 m-cy
2014</v>
      </c>
      <c r="M4" s="271" t="str">
        <f>names!$A509</f>
        <v>I kw.
2015</v>
      </c>
      <c r="N4" s="271" t="str">
        <f>names!$A510</f>
        <v>II kw.
2015</v>
      </c>
      <c r="O4" s="271" t="str">
        <f>names!$A511</f>
        <v>III kw.
2015</v>
      </c>
      <c r="P4" s="271" t="str">
        <f>names!$A512</f>
        <v>IV kw.
2015</v>
      </c>
      <c r="Q4" s="271" t="str">
        <f>names!$A513</f>
        <v>12 m-cy
2015</v>
      </c>
      <c r="R4" s="271" t="str">
        <f>names!$A514</f>
        <v>I kw.
2016</v>
      </c>
      <c r="S4" s="271" t="str">
        <f>names!$A515</f>
        <v>II kw.
2016</v>
      </c>
      <c r="T4" s="271" t="str">
        <f>names!$A516</f>
        <v>III kw.
2016</v>
      </c>
      <c r="U4" s="271" t="str">
        <f>names!$A517</f>
        <v>IV kw.
2016</v>
      </c>
      <c r="V4" s="271" t="str">
        <f>names!$A518</f>
        <v>12 m-cy
2016</v>
      </c>
      <c r="W4" s="271" t="str">
        <f>names!$A519</f>
        <v>I kw.
2017</v>
      </c>
      <c r="X4" s="271" t="str">
        <f>names!$A520</f>
        <v>II kw.
2017</v>
      </c>
      <c r="Y4" s="271" t="str">
        <f>names!$A521</f>
        <v>III kw.
2017</v>
      </c>
      <c r="Z4" s="271" t="str">
        <f>names!$A522</f>
        <v>IV kw.
2017</v>
      </c>
      <c r="AA4" s="271" t="str">
        <f>names!$A523</f>
        <v>12 m-cy
2017</v>
      </c>
      <c r="AB4" s="271" t="str">
        <f>names!$A524</f>
        <v>I kw.
2018</v>
      </c>
      <c r="AC4" s="271" t="str">
        <f>names!$A525</f>
        <v>II kw.
2018</v>
      </c>
      <c r="AD4" s="271" t="str">
        <f>names!$A526</f>
        <v>III kw.
2018</v>
      </c>
      <c r="AE4" s="271" t="str">
        <f>names!$A527</f>
        <v>IV kw.
2018 ***</v>
      </c>
      <c r="AF4" s="271" t="str">
        <f>names!$A528</f>
        <v>12 m-cy
2018 ***</v>
      </c>
      <c r="AG4" s="271" t="str">
        <f>names!$A531</f>
        <v>I kw.
2019</v>
      </c>
      <c r="AH4" s="271" t="str">
        <f>names!$A532</f>
        <v>II kw.
2019</v>
      </c>
      <c r="AI4" s="271" t="str">
        <f>names!$A533</f>
        <v>III kw.
2019</v>
      </c>
      <c r="AJ4" s="271" t="str">
        <f>names!$A534</f>
        <v>IV kw.
2019</v>
      </c>
      <c r="AK4" s="271" t="str">
        <f>names!$A535</f>
        <v>12 m-cy
2019</v>
      </c>
      <c r="AL4" s="271" t="str">
        <f>names!A149</f>
        <v>I kw. 
2020</v>
      </c>
      <c r="AM4" s="577"/>
    </row>
    <row r="5" spans="2:39" ht="6.75" customHeight="1" thickBo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577"/>
    </row>
    <row r="6" spans="2:39" ht="13.5" thickBot="1">
      <c r="B6" s="273" t="str">
        <f>names!$A1007</f>
        <v>Przychody ze sprzedaży</v>
      </c>
      <c r="C6" s="274">
        <v>27450</v>
      </c>
      <c r="D6" s="274">
        <v>28221</v>
      </c>
      <c r="E6" s="274">
        <v>30304</v>
      </c>
      <c r="F6" s="275">
        <v>27622</v>
      </c>
      <c r="G6" s="321">
        <v>113597</v>
      </c>
      <c r="H6" s="276">
        <v>24119</v>
      </c>
      <c r="I6" s="275">
        <v>28651</v>
      </c>
      <c r="J6" s="275">
        <v>29160</v>
      </c>
      <c r="K6" s="275">
        <v>24902</v>
      </c>
      <c r="L6" s="321">
        <v>106832</v>
      </c>
      <c r="M6" s="275">
        <v>20005</v>
      </c>
      <c r="N6" s="275">
        <v>24776</v>
      </c>
      <c r="O6" s="275">
        <v>23468</v>
      </c>
      <c r="P6" s="275">
        <v>20087</v>
      </c>
      <c r="Q6" s="321">
        <f>SUM(M6:P6)</f>
        <v>88336</v>
      </c>
      <c r="R6" s="275">
        <v>16213</v>
      </c>
      <c r="S6" s="275">
        <v>19355</v>
      </c>
      <c r="T6" s="275">
        <v>21083</v>
      </c>
      <c r="U6" s="275">
        <v>22902</v>
      </c>
      <c r="V6" s="321">
        <f>SUM(R6:U6)</f>
        <v>79553</v>
      </c>
      <c r="W6" s="275">
        <v>22875</v>
      </c>
      <c r="X6" s="275">
        <v>23025</v>
      </c>
      <c r="Y6" s="275">
        <v>24730</v>
      </c>
      <c r="Z6" s="275">
        <v>24734</v>
      </c>
      <c r="AA6" s="321">
        <f>SUM(W6:Z6)</f>
        <v>95364</v>
      </c>
      <c r="AB6" s="275">
        <v>23241</v>
      </c>
      <c r="AC6" s="275">
        <v>26701</v>
      </c>
      <c r="AD6" s="275">
        <v>30344</v>
      </c>
      <c r="AE6" s="275">
        <v>29420</v>
      </c>
      <c r="AF6" s="321">
        <v>109706</v>
      </c>
      <c r="AG6" s="275">
        <v>25246</v>
      </c>
      <c r="AH6" s="275">
        <v>29228</v>
      </c>
      <c r="AI6" s="275">
        <v>29229</v>
      </c>
      <c r="AJ6" s="275">
        <v>27500</v>
      </c>
      <c r="AK6" s="321">
        <f>SUM(AG6:AJ6)</f>
        <v>111203</v>
      </c>
      <c r="AL6" s="275">
        <v>22077</v>
      </c>
      <c r="AM6" s="577"/>
    </row>
    <row r="7" spans="2:39" ht="25.5">
      <c r="B7" s="277" t="str">
        <f>names!$A1008</f>
        <v>Zysk/(Strata) z działalności operacyjnej wg LIFO powiększona o amortyzację (EBITDA LIFO) przed odpisem aktualizującym**, w tym:</v>
      </c>
      <c r="C7" s="278">
        <f>C12</f>
        <v>910</v>
      </c>
      <c r="D7" s="278">
        <v>819</v>
      </c>
      <c r="E7" s="278">
        <v>765</v>
      </c>
      <c r="F7" s="279">
        <v>592</v>
      </c>
      <c r="G7" s="322">
        <v>3086</v>
      </c>
      <c r="H7" s="280">
        <f>SUM(H8:H11)</f>
        <v>968</v>
      </c>
      <c r="I7" s="279">
        <v>856</v>
      </c>
      <c r="J7" s="279">
        <v>2129</v>
      </c>
      <c r="K7" s="279">
        <v>1260</v>
      </c>
      <c r="L7" s="322">
        <v>5213</v>
      </c>
      <c r="M7" s="279">
        <v>1910</v>
      </c>
      <c r="N7" s="279">
        <v>2902</v>
      </c>
      <c r="O7" s="279">
        <v>2060</v>
      </c>
      <c r="P7" s="279">
        <v>1866</v>
      </c>
      <c r="Q7" s="322">
        <f t="shared" ref="Q7:Q35" si="0">SUM(M7:P7)</f>
        <v>8738</v>
      </c>
      <c r="R7" s="279">
        <v>1937</v>
      </c>
      <c r="S7" s="279">
        <v>2594</v>
      </c>
      <c r="T7" s="279">
        <v>2226</v>
      </c>
      <c r="U7" s="279">
        <v>2655</v>
      </c>
      <c r="V7" s="322">
        <f t="shared" ref="V7:V35" si="1">SUM(R7:U7)</f>
        <v>9412</v>
      </c>
      <c r="W7" s="279">
        <v>2321</v>
      </c>
      <c r="X7" s="279">
        <v>3058</v>
      </c>
      <c r="Y7" s="279">
        <v>3047</v>
      </c>
      <c r="Z7" s="279">
        <v>2022</v>
      </c>
      <c r="AA7" s="322">
        <f t="shared" ref="AA7:AA35" si="2">SUM(W7:Z7)</f>
        <v>10448</v>
      </c>
      <c r="AB7" s="279">
        <v>1893</v>
      </c>
      <c r="AC7" s="279">
        <v>2127</v>
      </c>
      <c r="AD7" s="279">
        <v>2405</v>
      </c>
      <c r="AE7" s="279">
        <v>2089</v>
      </c>
      <c r="AF7" s="322">
        <v>8324</v>
      </c>
      <c r="AG7" s="279">
        <v>2014</v>
      </c>
      <c r="AH7" s="279">
        <v>2732</v>
      </c>
      <c r="AI7" s="279">
        <v>3167</v>
      </c>
      <c r="AJ7" s="279">
        <v>1259</v>
      </c>
      <c r="AK7" s="322">
        <f t="shared" ref="AK7:AK35" si="3">SUM(AG7:AJ7)</f>
        <v>9172</v>
      </c>
      <c r="AL7" s="279">
        <v>1607</v>
      </c>
      <c r="AM7" s="577"/>
    </row>
    <row r="8" spans="2:39">
      <c r="B8" s="281" t="str">
        <f>names!$A1009</f>
        <v xml:space="preserve">  Downstream</v>
      </c>
      <c r="C8" s="282">
        <f>G8-F8-E8-D8</f>
        <v>932</v>
      </c>
      <c r="D8" s="283">
        <v>600</v>
      </c>
      <c r="E8" s="283">
        <v>419</v>
      </c>
      <c r="F8" s="282">
        <v>456</v>
      </c>
      <c r="G8" s="323">
        <v>2407</v>
      </c>
      <c r="H8" s="284">
        <f>821+12</f>
        <v>833</v>
      </c>
      <c r="I8" s="282">
        <v>612</v>
      </c>
      <c r="J8" s="282">
        <v>1778</v>
      </c>
      <c r="K8" s="282">
        <v>987</v>
      </c>
      <c r="L8" s="323">
        <v>4210</v>
      </c>
      <c r="M8" s="282">
        <v>1753</v>
      </c>
      <c r="N8" s="282">
        <v>2712</v>
      </c>
      <c r="O8" s="282">
        <v>1655</v>
      </c>
      <c r="P8" s="282">
        <v>1656</v>
      </c>
      <c r="Q8" s="323">
        <f t="shared" si="0"/>
        <v>7776</v>
      </c>
      <c r="R8" s="282">
        <v>1755</v>
      </c>
      <c r="S8" s="282">
        <v>2291</v>
      </c>
      <c r="T8" s="282">
        <v>1698</v>
      </c>
      <c r="U8" s="282">
        <v>2363</v>
      </c>
      <c r="V8" s="323">
        <f t="shared" si="1"/>
        <v>8107</v>
      </c>
      <c r="W8" s="282">
        <v>2021</v>
      </c>
      <c r="X8" s="282">
        <v>2550</v>
      </c>
      <c r="Y8" s="282">
        <v>2513</v>
      </c>
      <c r="Z8" s="282">
        <v>1636</v>
      </c>
      <c r="AA8" s="323">
        <f t="shared" si="2"/>
        <v>8720</v>
      </c>
      <c r="AB8" s="282">
        <v>1513</v>
      </c>
      <c r="AC8" s="282">
        <v>1580</v>
      </c>
      <c r="AD8" s="282">
        <v>1762</v>
      </c>
      <c r="AE8" s="282">
        <v>1366</v>
      </c>
      <c r="AF8" s="323">
        <v>6031</v>
      </c>
      <c r="AG8" s="282">
        <v>1449</v>
      </c>
      <c r="AH8" s="282">
        <v>1991</v>
      </c>
      <c r="AI8" s="282">
        <v>2402</v>
      </c>
      <c r="AJ8" s="282">
        <v>825</v>
      </c>
      <c r="AK8" s="323">
        <f t="shared" si="3"/>
        <v>6667</v>
      </c>
      <c r="AL8" s="282">
        <v>901</v>
      </c>
      <c r="AM8" s="577"/>
    </row>
    <row r="9" spans="2:39">
      <c r="B9" s="285" t="str">
        <f>names!$A1010</f>
        <v xml:space="preserve">  Detal</v>
      </c>
      <c r="C9" s="286">
        <v>123</v>
      </c>
      <c r="D9" s="287">
        <v>369</v>
      </c>
      <c r="E9" s="287">
        <v>451</v>
      </c>
      <c r="F9" s="286">
        <v>325</v>
      </c>
      <c r="G9" s="324">
        <v>1268</v>
      </c>
      <c r="H9" s="286">
        <f>234+3</f>
        <v>237</v>
      </c>
      <c r="I9" s="286">
        <v>359</v>
      </c>
      <c r="J9" s="286">
        <v>441</v>
      </c>
      <c r="K9" s="286">
        <v>379</v>
      </c>
      <c r="L9" s="324">
        <v>1416</v>
      </c>
      <c r="M9" s="286">
        <v>282</v>
      </c>
      <c r="N9" s="286">
        <v>349</v>
      </c>
      <c r="O9" s="286">
        <v>539</v>
      </c>
      <c r="P9" s="286">
        <v>369</v>
      </c>
      <c r="Q9" s="324">
        <f t="shared" si="0"/>
        <v>1539</v>
      </c>
      <c r="R9" s="286">
        <v>301</v>
      </c>
      <c r="S9" s="286">
        <v>441</v>
      </c>
      <c r="T9" s="286">
        <v>619</v>
      </c>
      <c r="U9" s="286">
        <v>440</v>
      </c>
      <c r="V9" s="324">
        <f t="shared" si="1"/>
        <v>1801</v>
      </c>
      <c r="W9" s="286">
        <v>372</v>
      </c>
      <c r="X9" s="286">
        <v>576</v>
      </c>
      <c r="Y9" s="286">
        <v>610</v>
      </c>
      <c r="Z9" s="286">
        <v>491</v>
      </c>
      <c r="AA9" s="324">
        <f t="shared" si="2"/>
        <v>2049</v>
      </c>
      <c r="AB9" s="286">
        <v>464</v>
      </c>
      <c r="AC9" s="286">
        <v>677</v>
      </c>
      <c r="AD9" s="286">
        <v>723</v>
      </c>
      <c r="AE9" s="286">
        <v>917</v>
      </c>
      <c r="AF9" s="324">
        <v>2781</v>
      </c>
      <c r="AG9" s="286">
        <v>676</v>
      </c>
      <c r="AH9" s="286">
        <v>859</v>
      </c>
      <c r="AI9" s="286">
        <v>925</v>
      </c>
      <c r="AJ9" s="286">
        <v>585</v>
      </c>
      <c r="AK9" s="324">
        <f t="shared" si="3"/>
        <v>3045</v>
      </c>
      <c r="AL9" s="286">
        <v>706</v>
      </c>
      <c r="AM9" s="577"/>
    </row>
    <row r="10" spans="2:39">
      <c r="B10" s="285" t="str">
        <f>names!$A1011</f>
        <v xml:space="preserve">  Wydobycie</v>
      </c>
      <c r="C10" s="286">
        <f>G10-F10-E10-D10</f>
        <v>-6</v>
      </c>
      <c r="D10" s="287">
        <v>-3</v>
      </c>
      <c r="E10" s="287">
        <v>-9</v>
      </c>
      <c r="F10" s="286">
        <v>-14</v>
      </c>
      <c r="G10" s="324">
        <v>-32</v>
      </c>
      <c r="H10" s="286">
        <v>31</v>
      </c>
      <c r="I10" s="286">
        <v>27</v>
      </c>
      <c r="J10" s="286">
        <v>52</v>
      </c>
      <c r="K10" s="286">
        <v>42</v>
      </c>
      <c r="L10" s="324">
        <v>152</v>
      </c>
      <c r="M10" s="286">
        <v>14</v>
      </c>
      <c r="N10" s="286">
        <v>13</v>
      </c>
      <c r="O10" s="286">
        <v>10</v>
      </c>
      <c r="P10" s="286">
        <v>7</v>
      </c>
      <c r="Q10" s="324">
        <f t="shared" si="0"/>
        <v>44</v>
      </c>
      <c r="R10" s="286">
        <v>27</v>
      </c>
      <c r="S10" s="286">
        <v>42</v>
      </c>
      <c r="T10" s="286">
        <v>58</v>
      </c>
      <c r="U10" s="286">
        <v>128</v>
      </c>
      <c r="V10" s="324">
        <f t="shared" si="1"/>
        <v>255</v>
      </c>
      <c r="W10" s="286">
        <v>80</v>
      </c>
      <c r="X10" s="286">
        <v>82</v>
      </c>
      <c r="Y10" s="286">
        <v>53</v>
      </c>
      <c r="Z10" s="286">
        <v>78</v>
      </c>
      <c r="AA10" s="324">
        <f t="shared" si="2"/>
        <v>293</v>
      </c>
      <c r="AB10" s="286">
        <v>68</v>
      </c>
      <c r="AC10" s="286">
        <v>82</v>
      </c>
      <c r="AD10" s="286">
        <v>86</v>
      </c>
      <c r="AE10" s="286">
        <v>69</v>
      </c>
      <c r="AF10" s="324">
        <v>305</v>
      </c>
      <c r="AG10" s="286">
        <v>94</v>
      </c>
      <c r="AH10" s="286">
        <v>83</v>
      </c>
      <c r="AI10" s="286">
        <v>85</v>
      </c>
      <c r="AJ10" s="286">
        <v>33</v>
      </c>
      <c r="AK10" s="324">
        <f t="shared" si="3"/>
        <v>295</v>
      </c>
      <c r="AL10" s="286">
        <v>219</v>
      </c>
      <c r="AM10" s="577"/>
    </row>
    <row r="11" spans="2:39" ht="13.5" thickBot="1">
      <c r="B11" s="285" t="str">
        <f>names!$A1012</f>
        <v xml:space="preserve">  Corporate functions 1)</v>
      </c>
      <c r="C11" s="286">
        <v>-139</v>
      </c>
      <c r="D11" s="287">
        <v>-147</v>
      </c>
      <c r="E11" s="287">
        <v>-96</v>
      </c>
      <c r="F11" s="286">
        <v>-175</v>
      </c>
      <c r="G11" s="324">
        <v>-557</v>
      </c>
      <c r="H11" s="288">
        <v>-133</v>
      </c>
      <c r="I11" s="286">
        <v>-142</v>
      </c>
      <c r="J11" s="286">
        <v>-142</v>
      </c>
      <c r="K11" s="289">
        <v>-148</v>
      </c>
      <c r="L11" s="324">
        <v>-565</v>
      </c>
      <c r="M11" s="286">
        <v>-139</v>
      </c>
      <c r="N11" s="286">
        <v>-172</v>
      </c>
      <c r="O11" s="286">
        <v>-144</v>
      </c>
      <c r="P11" s="289">
        <v>-166</v>
      </c>
      <c r="Q11" s="324">
        <f t="shared" si="0"/>
        <v>-621</v>
      </c>
      <c r="R11" s="286">
        <v>-146</v>
      </c>
      <c r="S11" s="286">
        <v>-180</v>
      </c>
      <c r="T11" s="286">
        <v>-149</v>
      </c>
      <c r="U11" s="289">
        <v>-276</v>
      </c>
      <c r="V11" s="324">
        <f t="shared" si="1"/>
        <v>-751</v>
      </c>
      <c r="W11" s="286">
        <v>-152</v>
      </c>
      <c r="X11" s="286">
        <v>-150</v>
      </c>
      <c r="Y11" s="286">
        <v>-129</v>
      </c>
      <c r="Z11" s="289">
        <v>-183</v>
      </c>
      <c r="AA11" s="324">
        <f t="shared" si="2"/>
        <v>-614</v>
      </c>
      <c r="AB11" s="286">
        <v>-152</v>
      </c>
      <c r="AC11" s="286">
        <v>-212</v>
      </c>
      <c r="AD11" s="286">
        <v>-166</v>
      </c>
      <c r="AE11" s="289">
        <v>-263</v>
      </c>
      <c r="AF11" s="324">
        <v>-793</v>
      </c>
      <c r="AG11" s="286">
        <v>-205</v>
      </c>
      <c r="AH11" s="286">
        <v>-201</v>
      </c>
      <c r="AI11" s="286">
        <v>-245</v>
      </c>
      <c r="AJ11" s="289">
        <v>-184</v>
      </c>
      <c r="AK11" s="324">
        <f t="shared" si="3"/>
        <v>-835</v>
      </c>
      <c r="AL11" s="286">
        <v>-219</v>
      </c>
      <c r="AM11" s="577"/>
    </row>
    <row r="12" spans="2:39">
      <c r="B12" s="390" t="str">
        <f>names!$A1013</f>
        <v>Zysk/(Strata) z działalności operacyjnej wg LIFO powiększona o amortyzację (EBITDA LIFO), w tym:</v>
      </c>
      <c r="C12" s="274">
        <v>910</v>
      </c>
      <c r="D12" s="274">
        <v>819</v>
      </c>
      <c r="E12" s="275">
        <v>765</v>
      </c>
      <c r="F12" s="275">
        <v>592</v>
      </c>
      <c r="G12" s="321">
        <v>3086</v>
      </c>
      <c r="H12" s="276">
        <v>953</v>
      </c>
      <c r="I12" s="275">
        <v>-4146</v>
      </c>
      <c r="J12" s="275">
        <v>2117</v>
      </c>
      <c r="K12" s="275">
        <v>929</v>
      </c>
      <c r="L12" s="321">
        <v>-147</v>
      </c>
      <c r="M12" s="275">
        <v>1899</v>
      </c>
      <c r="N12" s="275">
        <v>2458</v>
      </c>
      <c r="O12" s="275">
        <v>1959</v>
      </c>
      <c r="P12" s="275">
        <v>1429</v>
      </c>
      <c r="Q12" s="321">
        <f t="shared" si="0"/>
        <v>7745</v>
      </c>
      <c r="R12" s="275">
        <v>1930</v>
      </c>
      <c r="S12" s="275">
        <v>2590</v>
      </c>
      <c r="T12" s="275">
        <v>2224</v>
      </c>
      <c r="U12" s="275">
        <v>2813</v>
      </c>
      <c r="V12" s="321">
        <f t="shared" si="1"/>
        <v>9557</v>
      </c>
      <c r="W12" s="275">
        <v>2319</v>
      </c>
      <c r="X12" s="275">
        <v>3045</v>
      </c>
      <c r="Y12" s="275">
        <v>2997</v>
      </c>
      <c r="Z12" s="275">
        <v>1918</v>
      </c>
      <c r="AA12" s="321">
        <f t="shared" si="2"/>
        <v>10279</v>
      </c>
      <c r="AB12" s="275">
        <v>1896</v>
      </c>
      <c r="AC12" s="275">
        <v>2111</v>
      </c>
      <c r="AD12" s="275">
        <v>2389</v>
      </c>
      <c r="AE12" s="275">
        <v>2822</v>
      </c>
      <c r="AF12" s="321">
        <v>9028</v>
      </c>
      <c r="AG12" s="275">
        <v>2004</v>
      </c>
      <c r="AH12" s="275">
        <v>2715</v>
      </c>
      <c r="AI12" s="275">
        <v>3094</v>
      </c>
      <c r="AJ12" s="275">
        <v>1180</v>
      </c>
      <c r="AK12" s="321">
        <f t="shared" si="3"/>
        <v>8993</v>
      </c>
      <c r="AL12" s="275">
        <v>1103</v>
      </c>
      <c r="AM12" s="577"/>
    </row>
    <row r="13" spans="2:39">
      <c r="B13" s="285" t="str">
        <f>names!$A1014</f>
        <v xml:space="preserve">  Downstream</v>
      </c>
      <c r="C13" s="286">
        <f>G13-F13-E13-D13</f>
        <v>932</v>
      </c>
      <c r="D13" s="287">
        <v>600</v>
      </c>
      <c r="E13" s="286">
        <v>419</v>
      </c>
      <c r="F13" s="286">
        <v>456</v>
      </c>
      <c r="G13" s="324">
        <v>2407</v>
      </c>
      <c r="H13" s="286">
        <v>821</v>
      </c>
      <c r="I13" s="286">
        <v>-4380</v>
      </c>
      <c r="J13" s="286">
        <v>1766</v>
      </c>
      <c r="K13" s="286">
        <v>941</v>
      </c>
      <c r="L13" s="324">
        <v>-852</v>
      </c>
      <c r="M13" s="286">
        <v>1741</v>
      </c>
      <c r="N13" s="286">
        <v>2703</v>
      </c>
      <c r="O13" s="286">
        <v>1549</v>
      </c>
      <c r="P13" s="286">
        <v>1647</v>
      </c>
      <c r="Q13" s="324">
        <f t="shared" si="0"/>
        <v>7640</v>
      </c>
      <c r="R13" s="286">
        <v>1749</v>
      </c>
      <c r="S13" s="286">
        <v>2288</v>
      </c>
      <c r="T13" s="286">
        <v>1693</v>
      </c>
      <c r="U13" s="286">
        <v>2595</v>
      </c>
      <c r="V13" s="324">
        <f t="shared" si="1"/>
        <v>8325</v>
      </c>
      <c r="W13" s="286">
        <v>2020</v>
      </c>
      <c r="X13" s="286">
        <v>2551</v>
      </c>
      <c r="Y13" s="286">
        <v>2510</v>
      </c>
      <c r="Z13" s="286">
        <v>1620</v>
      </c>
      <c r="AA13" s="324">
        <f t="shared" si="2"/>
        <v>8701</v>
      </c>
      <c r="AB13" s="286">
        <v>1511</v>
      </c>
      <c r="AC13" s="286">
        <v>1576</v>
      </c>
      <c r="AD13" s="286">
        <v>1760</v>
      </c>
      <c r="AE13" s="286">
        <v>2066</v>
      </c>
      <c r="AF13" s="324">
        <v>6723</v>
      </c>
      <c r="AG13" s="286">
        <v>1438</v>
      </c>
      <c r="AH13" s="286">
        <v>1985</v>
      </c>
      <c r="AI13" s="286">
        <v>2393</v>
      </c>
      <c r="AJ13" s="286">
        <v>794</v>
      </c>
      <c r="AK13" s="324">
        <f t="shared" si="3"/>
        <v>6610</v>
      </c>
      <c r="AL13" s="286">
        <v>897</v>
      </c>
      <c r="AM13" s="577"/>
    </row>
    <row r="14" spans="2:39">
      <c r="B14" s="285" t="str">
        <f>names!$A1015</f>
        <v xml:space="preserve">  Detal</v>
      </c>
      <c r="C14" s="286">
        <v>123</v>
      </c>
      <c r="D14" s="287">
        <v>369</v>
      </c>
      <c r="E14" s="286">
        <v>451</v>
      </c>
      <c r="F14" s="286">
        <v>325</v>
      </c>
      <c r="G14" s="324">
        <v>1268</v>
      </c>
      <c r="H14" s="286">
        <v>234</v>
      </c>
      <c r="I14" s="286">
        <v>357</v>
      </c>
      <c r="J14" s="286">
        <v>441</v>
      </c>
      <c r="K14" s="286">
        <v>408</v>
      </c>
      <c r="L14" s="324">
        <v>1440</v>
      </c>
      <c r="M14" s="286">
        <v>283</v>
      </c>
      <c r="N14" s="286">
        <v>343</v>
      </c>
      <c r="O14" s="286">
        <v>544</v>
      </c>
      <c r="P14" s="286">
        <v>369</v>
      </c>
      <c r="Q14" s="324">
        <f t="shared" si="0"/>
        <v>1539</v>
      </c>
      <c r="R14" s="286">
        <v>300</v>
      </c>
      <c r="S14" s="286">
        <v>442</v>
      </c>
      <c r="T14" s="286">
        <v>618</v>
      </c>
      <c r="U14" s="286">
        <v>434</v>
      </c>
      <c r="V14" s="324">
        <f t="shared" si="1"/>
        <v>1794</v>
      </c>
      <c r="W14" s="286">
        <v>372</v>
      </c>
      <c r="X14" s="286">
        <v>564</v>
      </c>
      <c r="Y14" s="286">
        <v>609</v>
      </c>
      <c r="Z14" s="286">
        <v>493</v>
      </c>
      <c r="AA14" s="324">
        <f t="shared" si="2"/>
        <v>2038</v>
      </c>
      <c r="AB14" s="286">
        <v>471</v>
      </c>
      <c r="AC14" s="286">
        <v>677</v>
      </c>
      <c r="AD14" s="286">
        <v>712</v>
      </c>
      <c r="AE14" s="286">
        <v>907</v>
      </c>
      <c r="AF14" s="324">
        <v>2767</v>
      </c>
      <c r="AG14" s="286">
        <v>678</v>
      </c>
      <c r="AH14" s="286">
        <v>855</v>
      </c>
      <c r="AI14" s="286">
        <v>924</v>
      </c>
      <c r="AJ14" s="286">
        <v>604</v>
      </c>
      <c r="AK14" s="324">
        <f t="shared" si="3"/>
        <v>3061</v>
      </c>
      <c r="AL14" s="286">
        <v>702</v>
      </c>
      <c r="AM14" s="577"/>
    </row>
    <row r="15" spans="2:39">
      <c r="B15" s="285" t="str">
        <f>names!$A1016</f>
        <v xml:space="preserve">  Wydobycie</v>
      </c>
      <c r="C15" s="286">
        <f>G15-F15-E15-D15</f>
        <v>-6</v>
      </c>
      <c r="D15" s="287">
        <v>-3</v>
      </c>
      <c r="E15" s="286">
        <v>-9</v>
      </c>
      <c r="F15" s="286">
        <v>-14</v>
      </c>
      <c r="G15" s="324">
        <v>-32</v>
      </c>
      <c r="H15" s="286">
        <v>31</v>
      </c>
      <c r="I15" s="286">
        <v>19</v>
      </c>
      <c r="J15" s="286">
        <v>52</v>
      </c>
      <c r="K15" s="286">
        <v>-272</v>
      </c>
      <c r="L15" s="324">
        <v>-170</v>
      </c>
      <c r="M15" s="286">
        <v>14</v>
      </c>
      <c r="N15" s="286">
        <v>-416</v>
      </c>
      <c r="O15" s="286">
        <v>10</v>
      </c>
      <c r="P15" s="286">
        <v>-416</v>
      </c>
      <c r="Q15" s="324">
        <f t="shared" si="0"/>
        <v>-808</v>
      </c>
      <c r="R15" s="286">
        <v>27</v>
      </c>
      <c r="S15" s="286">
        <v>40</v>
      </c>
      <c r="T15" s="286">
        <v>59</v>
      </c>
      <c r="U15" s="286">
        <v>56</v>
      </c>
      <c r="V15" s="324">
        <f t="shared" si="1"/>
        <v>182</v>
      </c>
      <c r="W15" s="286">
        <v>79</v>
      </c>
      <c r="X15" s="286">
        <v>82</v>
      </c>
      <c r="Y15" s="286">
        <v>11</v>
      </c>
      <c r="Z15" s="286">
        <v>-19</v>
      </c>
      <c r="AA15" s="324">
        <f t="shared" si="2"/>
        <v>153</v>
      </c>
      <c r="AB15" s="286">
        <v>66</v>
      </c>
      <c r="AC15" s="286">
        <v>72</v>
      </c>
      <c r="AD15" s="286">
        <v>86</v>
      </c>
      <c r="AE15" s="286">
        <v>63</v>
      </c>
      <c r="AF15" s="324">
        <v>287</v>
      </c>
      <c r="AG15" s="286">
        <v>93</v>
      </c>
      <c r="AH15" s="286">
        <v>82</v>
      </c>
      <c r="AI15" s="286">
        <v>23</v>
      </c>
      <c r="AJ15" s="286">
        <v>-34</v>
      </c>
      <c r="AK15" s="324">
        <f t="shared" si="3"/>
        <v>164</v>
      </c>
      <c r="AL15" s="286">
        <v>-277</v>
      </c>
      <c r="AM15" s="577"/>
    </row>
    <row r="16" spans="2:39" ht="13.5" thickBot="1">
      <c r="B16" s="285" t="str">
        <f>names!$A1017</f>
        <v xml:space="preserve">  Corporate functions 1)</v>
      </c>
      <c r="C16" s="286">
        <v>-139</v>
      </c>
      <c r="D16" s="287">
        <v>-147</v>
      </c>
      <c r="E16" s="286">
        <v>-96</v>
      </c>
      <c r="F16" s="286">
        <v>-175</v>
      </c>
      <c r="G16" s="324">
        <v>-557</v>
      </c>
      <c r="H16" s="286">
        <v>-133</v>
      </c>
      <c r="I16" s="286">
        <v>-142</v>
      </c>
      <c r="J16" s="286">
        <v>-142</v>
      </c>
      <c r="K16" s="286">
        <v>-148</v>
      </c>
      <c r="L16" s="324">
        <v>-565</v>
      </c>
      <c r="M16" s="286">
        <v>-139</v>
      </c>
      <c r="N16" s="286">
        <v>-172</v>
      </c>
      <c r="O16" s="286">
        <v>-144</v>
      </c>
      <c r="P16" s="286">
        <v>-171</v>
      </c>
      <c r="Q16" s="324">
        <f t="shared" si="0"/>
        <v>-626</v>
      </c>
      <c r="R16" s="286">
        <v>-146</v>
      </c>
      <c r="S16" s="286">
        <v>-180</v>
      </c>
      <c r="T16" s="286">
        <v>-146</v>
      </c>
      <c r="U16" s="286">
        <v>-272</v>
      </c>
      <c r="V16" s="324">
        <f t="shared" si="1"/>
        <v>-744</v>
      </c>
      <c r="W16" s="286">
        <v>-152</v>
      </c>
      <c r="X16" s="286">
        <v>-152</v>
      </c>
      <c r="Y16" s="286">
        <v>-133</v>
      </c>
      <c r="Z16" s="286">
        <v>-176</v>
      </c>
      <c r="AA16" s="324">
        <f t="shared" si="2"/>
        <v>-613</v>
      </c>
      <c r="AB16" s="286">
        <v>-152</v>
      </c>
      <c r="AC16" s="286">
        <v>-214</v>
      </c>
      <c r="AD16" s="286">
        <v>-169</v>
      </c>
      <c r="AE16" s="286">
        <v>-214</v>
      </c>
      <c r="AF16" s="324">
        <v>-749</v>
      </c>
      <c r="AG16" s="286">
        <v>-205</v>
      </c>
      <c r="AH16" s="286">
        <v>-207</v>
      </c>
      <c r="AI16" s="286">
        <v>-246</v>
      </c>
      <c r="AJ16" s="286">
        <v>-184</v>
      </c>
      <c r="AK16" s="324">
        <f t="shared" si="3"/>
        <v>-842</v>
      </c>
      <c r="AL16" s="286">
        <v>-219</v>
      </c>
      <c r="AM16" s="577"/>
    </row>
    <row r="17" spans="2:39">
      <c r="B17" s="391" t="str">
        <f>names!$A1018</f>
        <v>Zysk/(Strata) z działalności operacyjnej wg LIFO powiększona o amortyzację (EBITDA LIFO), w tym:</v>
      </c>
      <c r="C17" s="275">
        <v>910</v>
      </c>
      <c r="D17" s="274">
        <v>819</v>
      </c>
      <c r="E17" s="275">
        <v>765</v>
      </c>
      <c r="F17" s="275">
        <v>592</v>
      </c>
      <c r="G17" s="321">
        <v>3086</v>
      </c>
      <c r="H17" s="276">
        <v>953</v>
      </c>
      <c r="I17" s="275">
        <v>-4146</v>
      </c>
      <c r="J17" s="275">
        <v>2117</v>
      </c>
      <c r="K17" s="275">
        <v>929</v>
      </c>
      <c r="L17" s="321">
        <v>-147</v>
      </c>
      <c r="M17" s="275">
        <v>1899</v>
      </c>
      <c r="N17" s="275">
        <v>2458</v>
      </c>
      <c r="O17" s="275">
        <v>1959</v>
      </c>
      <c r="P17" s="275">
        <v>1429</v>
      </c>
      <c r="Q17" s="321">
        <f t="shared" si="0"/>
        <v>7745</v>
      </c>
      <c r="R17" s="275">
        <v>1930</v>
      </c>
      <c r="S17" s="275">
        <v>2590</v>
      </c>
      <c r="T17" s="275">
        <v>2224</v>
      </c>
      <c r="U17" s="275">
        <v>2813</v>
      </c>
      <c r="V17" s="321">
        <f t="shared" si="1"/>
        <v>9557</v>
      </c>
      <c r="W17" s="275">
        <v>2319</v>
      </c>
      <c r="X17" s="275">
        <v>3045</v>
      </c>
      <c r="Y17" s="275">
        <v>2997</v>
      </c>
      <c r="Z17" s="275">
        <v>1918</v>
      </c>
      <c r="AA17" s="321">
        <f t="shared" si="2"/>
        <v>10279</v>
      </c>
      <c r="AB17" s="275">
        <v>1896</v>
      </c>
      <c r="AC17" s="275">
        <v>2111</v>
      </c>
      <c r="AD17" s="275">
        <v>2389</v>
      </c>
      <c r="AE17" s="275">
        <v>2822</v>
      </c>
      <c r="AF17" s="321">
        <v>9028</v>
      </c>
      <c r="AG17" s="275">
        <v>2004</v>
      </c>
      <c r="AH17" s="275">
        <v>2715</v>
      </c>
      <c r="AI17" s="275">
        <v>3094</v>
      </c>
      <c r="AJ17" s="275">
        <v>1180</v>
      </c>
      <c r="AK17" s="321">
        <f t="shared" si="3"/>
        <v>8993</v>
      </c>
      <c r="AL17" s="275">
        <v>1103</v>
      </c>
      <c r="AM17" s="577"/>
    </row>
    <row r="18" spans="2:39">
      <c r="B18" s="285" t="str">
        <f>names!$A1019</f>
        <v>ORLEN S.A.</v>
      </c>
      <c r="C18" s="286">
        <v>547</v>
      </c>
      <c r="D18" s="287">
        <v>440</v>
      </c>
      <c r="E18" s="286">
        <v>457</v>
      </c>
      <c r="F18" s="286">
        <v>630</v>
      </c>
      <c r="G18" s="324">
        <v>2074</v>
      </c>
      <c r="H18" s="286">
        <v>445</v>
      </c>
      <c r="I18" s="286">
        <v>411</v>
      </c>
      <c r="J18" s="286">
        <v>1225</v>
      </c>
      <c r="K18" s="286">
        <v>839</v>
      </c>
      <c r="L18" s="324">
        <v>2920</v>
      </c>
      <c r="M18" s="286">
        <v>763</v>
      </c>
      <c r="N18" s="286">
        <v>1371</v>
      </c>
      <c r="O18" s="286">
        <v>919</v>
      </c>
      <c r="P18" s="286">
        <v>1323</v>
      </c>
      <c r="Q18" s="324">
        <f t="shared" si="0"/>
        <v>4376</v>
      </c>
      <c r="R18" s="286">
        <v>1046</v>
      </c>
      <c r="S18" s="286">
        <v>1150</v>
      </c>
      <c r="T18" s="286">
        <v>1311</v>
      </c>
      <c r="U18" s="286">
        <v>1339</v>
      </c>
      <c r="V18" s="324">
        <f t="shared" si="1"/>
        <v>4846</v>
      </c>
      <c r="W18" s="286">
        <v>1169</v>
      </c>
      <c r="X18" s="286">
        <v>1353</v>
      </c>
      <c r="Y18" s="286">
        <v>1625</v>
      </c>
      <c r="Z18" s="286">
        <v>1180</v>
      </c>
      <c r="AA18" s="324">
        <f t="shared" si="2"/>
        <v>5327</v>
      </c>
      <c r="AB18" s="286">
        <v>1240</v>
      </c>
      <c r="AC18" s="286">
        <v>1258</v>
      </c>
      <c r="AD18" s="286">
        <v>1340</v>
      </c>
      <c r="AE18" s="286">
        <v>1352</v>
      </c>
      <c r="AF18" s="324">
        <v>5000</v>
      </c>
      <c r="AG18" s="286">
        <v>1148</v>
      </c>
      <c r="AH18" s="286">
        <v>1907</v>
      </c>
      <c r="AI18" s="286">
        <v>2052</v>
      </c>
      <c r="AJ18" s="286">
        <v>857</v>
      </c>
      <c r="AK18" s="324">
        <f t="shared" si="3"/>
        <v>5964</v>
      </c>
      <c r="AL18" s="286">
        <v>1849</v>
      </c>
      <c r="AM18" s="577"/>
    </row>
    <row r="19" spans="2:39">
      <c r="B19" s="285" t="str">
        <f>names!$A1020</f>
        <v>Grupa Unipetrol</v>
      </c>
      <c r="C19" s="286">
        <v>71</v>
      </c>
      <c r="D19" s="287">
        <v>108</v>
      </c>
      <c r="E19" s="286">
        <v>36</v>
      </c>
      <c r="F19" s="286">
        <v>40</v>
      </c>
      <c r="G19" s="324">
        <v>255</v>
      </c>
      <c r="H19" s="286">
        <v>284</v>
      </c>
      <c r="I19" s="286">
        <v>-555</v>
      </c>
      <c r="J19" s="286">
        <v>346</v>
      </c>
      <c r="K19" s="286">
        <v>403</v>
      </c>
      <c r="L19" s="324">
        <v>478</v>
      </c>
      <c r="M19" s="286">
        <v>472</v>
      </c>
      <c r="N19" s="286">
        <v>591</v>
      </c>
      <c r="O19" s="286">
        <v>462</v>
      </c>
      <c r="P19" s="286">
        <v>128</v>
      </c>
      <c r="Q19" s="324">
        <f t="shared" si="0"/>
        <v>1653</v>
      </c>
      <c r="R19" s="286">
        <v>56</v>
      </c>
      <c r="S19" s="286">
        <v>743</v>
      </c>
      <c r="T19" s="286">
        <v>306</v>
      </c>
      <c r="U19" s="286">
        <v>847</v>
      </c>
      <c r="V19" s="324">
        <f t="shared" si="1"/>
        <v>1952</v>
      </c>
      <c r="W19" s="286">
        <v>578</v>
      </c>
      <c r="X19" s="286">
        <v>1048</v>
      </c>
      <c r="Y19" s="286">
        <v>557</v>
      </c>
      <c r="Z19" s="286">
        <v>199</v>
      </c>
      <c r="AA19" s="324">
        <f t="shared" si="2"/>
        <v>2382</v>
      </c>
      <c r="AB19" s="286">
        <v>252</v>
      </c>
      <c r="AC19" s="286">
        <v>389</v>
      </c>
      <c r="AD19" s="286">
        <v>341</v>
      </c>
      <c r="AE19" s="286">
        <v>1213</v>
      </c>
      <c r="AF19" s="324">
        <v>2195</v>
      </c>
      <c r="AG19" s="286">
        <v>145</v>
      </c>
      <c r="AH19" s="286">
        <v>297</v>
      </c>
      <c r="AI19" s="286">
        <v>416</v>
      </c>
      <c r="AJ19" s="286">
        <v>78</v>
      </c>
      <c r="AK19" s="324">
        <f t="shared" si="3"/>
        <v>936</v>
      </c>
      <c r="AL19" s="286">
        <v>-100</v>
      </c>
      <c r="AM19" s="577"/>
    </row>
    <row r="20" spans="2:39">
      <c r="B20" s="285" t="str">
        <f>names!$A1021</f>
        <v>Grupa ORLEN Lietuva</v>
      </c>
      <c r="C20" s="286">
        <v>124</v>
      </c>
      <c r="D20" s="287">
        <v>9</v>
      </c>
      <c r="E20" s="286">
        <v>-16</v>
      </c>
      <c r="F20" s="286">
        <v>-140</v>
      </c>
      <c r="G20" s="324">
        <v>-23</v>
      </c>
      <c r="H20" s="286">
        <v>-64</v>
      </c>
      <c r="I20" s="286">
        <v>-4189</v>
      </c>
      <c r="J20" s="286">
        <v>174</v>
      </c>
      <c r="K20" s="286">
        <v>-296</v>
      </c>
      <c r="L20" s="324">
        <v>-4375</v>
      </c>
      <c r="M20" s="286">
        <v>376</v>
      </c>
      <c r="N20" s="286">
        <v>515</v>
      </c>
      <c r="O20" s="286">
        <v>106</v>
      </c>
      <c r="P20" s="286">
        <v>77</v>
      </c>
      <c r="Q20" s="324">
        <f t="shared" si="0"/>
        <v>1074</v>
      </c>
      <c r="R20" s="286">
        <v>322</v>
      </c>
      <c r="S20" s="286">
        <v>277</v>
      </c>
      <c r="T20" s="286">
        <v>182</v>
      </c>
      <c r="U20" s="286">
        <v>302</v>
      </c>
      <c r="V20" s="324">
        <f t="shared" si="1"/>
        <v>1083</v>
      </c>
      <c r="W20" s="286">
        <v>169</v>
      </c>
      <c r="X20" s="286">
        <v>220</v>
      </c>
      <c r="Y20" s="286">
        <v>338</v>
      </c>
      <c r="Z20" s="286">
        <v>346</v>
      </c>
      <c r="AA20" s="324">
        <f t="shared" si="2"/>
        <v>1073</v>
      </c>
      <c r="AB20" s="286">
        <v>56</v>
      </c>
      <c r="AC20" s="286">
        <v>113</v>
      </c>
      <c r="AD20" s="286">
        <v>271</v>
      </c>
      <c r="AE20" s="286">
        <v>-239</v>
      </c>
      <c r="AF20" s="324">
        <v>201</v>
      </c>
      <c r="AG20" s="286">
        <v>206</v>
      </c>
      <c r="AH20" s="286">
        <v>43</v>
      </c>
      <c r="AI20" s="286">
        <v>177</v>
      </c>
      <c r="AJ20" s="286">
        <v>-6</v>
      </c>
      <c r="AK20" s="324">
        <f t="shared" si="3"/>
        <v>420</v>
      </c>
      <c r="AL20" s="286">
        <v>-753</v>
      </c>
      <c r="AM20" s="577"/>
    </row>
    <row r="21" spans="2:39" ht="13.5" thickBot="1">
      <c r="B21" s="285" t="str">
        <f>names!$A1024</f>
        <v>Pozostałe</v>
      </c>
      <c r="C21" s="286">
        <v>168</v>
      </c>
      <c r="D21" s="287">
        <v>262</v>
      </c>
      <c r="E21" s="286">
        <v>288</v>
      </c>
      <c r="F21" s="286">
        <v>62</v>
      </c>
      <c r="G21" s="324">
        <v>780</v>
      </c>
      <c r="H21" s="286">
        <v>288</v>
      </c>
      <c r="I21" s="286">
        <v>187</v>
      </c>
      <c r="J21" s="286">
        <v>372</v>
      </c>
      <c r="K21" s="286">
        <v>-17</v>
      </c>
      <c r="L21" s="324">
        <v>830</v>
      </c>
      <c r="M21" s="286">
        <v>288</v>
      </c>
      <c r="N21" s="286">
        <v>-19</v>
      </c>
      <c r="O21" s="286">
        <v>472</v>
      </c>
      <c r="P21" s="286">
        <v>-99</v>
      </c>
      <c r="Q21" s="324">
        <f t="shared" si="0"/>
        <v>642</v>
      </c>
      <c r="R21" s="286">
        <v>506</v>
      </c>
      <c r="S21" s="286">
        <v>420</v>
      </c>
      <c r="T21" s="286">
        <v>425</v>
      </c>
      <c r="U21" s="286">
        <v>325</v>
      </c>
      <c r="V21" s="324">
        <f t="shared" si="1"/>
        <v>1676</v>
      </c>
      <c r="W21" s="286">
        <v>403</v>
      </c>
      <c r="X21" s="286">
        <v>424</v>
      </c>
      <c r="Y21" s="286">
        <v>477</v>
      </c>
      <c r="Z21" s="286">
        <v>193</v>
      </c>
      <c r="AA21" s="324">
        <f t="shared" si="2"/>
        <v>1497</v>
      </c>
      <c r="AB21" s="286">
        <v>348</v>
      </c>
      <c r="AC21" s="286">
        <v>351</v>
      </c>
      <c r="AD21" s="286">
        <v>437</v>
      </c>
      <c r="AE21" s="286">
        <v>496</v>
      </c>
      <c r="AF21" s="324">
        <v>1632</v>
      </c>
      <c r="AG21" s="286">
        <v>505</v>
      </c>
      <c r="AH21" s="286">
        <v>468</v>
      </c>
      <c r="AI21" s="286">
        <v>449</v>
      </c>
      <c r="AJ21" s="286">
        <v>251</v>
      </c>
      <c r="AK21" s="324">
        <f t="shared" si="3"/>
        <v>1673</v>
      </c>
      <c r="AL21" s="286">
        <v>107</v>
      </c>
      <c r="AM21" s="577"/>
    </row>
    <row r="22" spans="2:39" ht="13.5" thickBot="1">
      <c r="B22" s="273" t="str">
        <f>names!$A1025</f>
        <v>Zysk/(Strata) z działalności operacyjnej powiększona o amortyzację (EBITDA)</v>
      </c>
      <c r="C22" s="278">
        <v>857</v>
      </c>
      <c r="D22" s="278">
        <v>380</v>
      </c>
      <c r="E22" s="279">
        <v>1127</v>
      </c>
      <c r="F22" s="279">
        <v>54</v>
      </c>
      <c r="G22" s="322">
        <v>2418</v>
      </c>
      <c r="H22" s="291">
        <v>776</v>
      </c>
      <c r="I22" s="279">
        <v>-4293</v>
      </c>
      <c r="J22" s="279">
        <v>1461</v>
      </c>
      <c r="K22" s="292">
        <v>-664</v>
      </c>
      <c r="L22" s="322">
        <v>-2720</v>
      </c>
      <c r="M22" s="279">
        <v>1662</v>
      </c>
      <c r="N22" s="279">
        <v>2627</v>
      </c>
      <c r="O22" s="279">
        <v>1625</v>
      </c>
      <c r="P22" s="292">
        <v>321</v>
      </c>
      <c r="Q22" s="322">
        <f t="shared" si="0"/>
        <v>6235</v>
      </c>
      <c r="R22" s="279">
        <v>993</v>
      </c>
      <c r="S22" s="279">
        <v>2999</v>
      </c>
      <c r="T22" s="279">
        <v>2311</v>
      </c>
      <c r="U22" s="292">
        <v>3339</v>
      </c>
      <c r="V22" s="322">
        <f t="shared" si="1"/>
        <v>9642</v>
      </c>
      <c r="W22" s="279">
        <v>2838</v>
      </c>
      <c r="X22" s="279">
        <v>2701</v>
      </c>
      <c r="Y22" s="279">
        <v>2890</v>
      </c>
      <c r="Z22" s="292">
        <v>2649</v>
      </c>
      <c r="AA22" s="322">
        <f t="shared" si="2"/>
        <v>11078</v>
      </c>
      <c r="AB22" s="279">
        <v>2040</v>
      </c>
      <c r="AC22" s="279">
        <v>3047</v>
      </c>
      <c r="AD22" s="279">
        <v>2968</v>
      </c>
      <c r="AE22" s="292">
        <v>2023</v>
      </c>
      <c r="AF22" s="322">
        <v>9888</v>
      </c>
      <c r="AG22" s="279">
        <v>1829</v>
      </c>
      <c r="AH22" s="279">
        <v>2932</v>
      </c>
      <c r="AI22" s="279">
        <v>2700</v>
      </c>
      <c r="AJ22" s="292">
        <v>1401</v>
      </c>
      <c r="AK22" s="322">
        <f t="shared" si="3"/>
        <v>8862</v>
      </c>
      <c r="AL22" s="279">
        <v>-969</v>
      </c>
      <c r="AM22" s="577"/>
    </row>
    <row r="23" spans="2:39">
      <c r="B23" s="290" t="str">
        <f>names!$A1026</f>
        <v>Amortyzacja, w tym:</v>
      </c>
      <c r="C23" s="274">
        <v>523</v>
      </c>
      <c r="D23" s="275">
        <v>520</v>
      </c>
      <c r="E23" s="275">
        <v>526</v>
      </c>
      <c r="F23" s="275">
        <v>542</v>
      </c>
      <c r="G23" s="321">
        <v>2111</v>
      </c>
      <c r="H23" s="276">
        <v>522</v>
      </c>
      <c r="I23" s="275">
        <v>524</v>
      </c>
      <c r="J23" s="275">
        <v>460</v>
      </c>
      <c r="K23" s="275">
        <v>485</v>
      </c>
      <c r="L23" s="321">
        <v>1991</v>
      </c>
      <c r="M23" s="275">
        <v>452</v>
      </c>
      <c r="N23" s="275">
        <v>464</v>
      </c>
      <c r="O23" s="275">
        <v>469</v>
      </c>
      <c r="P23" s="275">
        <v>510</v>
      </c>
      <c r="Q23" s="321">
        <f t="shared" si="0"/>
        <v>1895</v>
      </c>
      <c r="R23" s="275">
        <v>515</v>
      </c>
      <c r="S23" s="275">
        <v>508</v>
      </c>
      <c r="T23" s="275">
        <v>537</v>
      </c>
      <c r="U23" s="275">
        <v>550</v>
      </c>
      <c r="V23" s="321">
        <f t="shared" si="1"/>
        <v>2110</v>
      </c>
      <c r="W23" s="275">
        <v>562</v>
      </c>
      <c r="X23" s="275">
        <v>581</v>
      </c>
      <c r="Y23" s="275">
        <v>616</v>
      </c>
      <c r="Z23" s="275">
        <v>662</v>
      </c>
      <c r="AA23" s="321">
        <f t="shared" si="2"/>
        <v>2421</v>
      </c>
      <c r="AB23" s="275">
        <v>626</v>
      </c>
      <c r="AC23" s="275">
        <v>673</v>
      </c>
      <c r="AD23" s="275">
        <v>677</v>
      </c>
      <c r="AE23" s="275">
        <v>697</v>
      </c>
      <c r="AF23" s="321">
        <v>2673</v>
      </c>
      <c r="AG23" s="275">
        <v>833</v>
      </c>
      <c r="AH23" s="275">
        <v>846</v>
      </c>
      <c r="AI23" s="275">
        <v>893</v>
      </c>
      <c r="AJ23" s="275">
        <v>925</v>
      </c>
      <c r="AK23" s="321">
        <f t="shared" si="3"/>
        <v>3497</v>
      </c>
      <c r="AL23" s="275">
        <v>935</v>
      </c>
      <c r="AM23" s="577"/>
    </row>
    <row r="24" spans="2:39">
      <c r="B24" s="285" t="str">
        <f>names!$A1027</f>
        <v xml:space="preserve">  Downstream</v>
      </c>
      <c r="C24" s="286">
        <f t="shared" ref="C24:C31" si="4">G24-F24-E24-D24</f>
        <v>408</v>
      </c>
      <c r="D24" s="286">
        <v>405</v>
      </c>
      <c r="E24" s="286">
        <v>403</v>
      </c>
      <c r="F24" s="286">
        <v>417</v>
      </c>
      <c r="G24" s="324">
        <v>1633</v>
      </c>
      <c r="H24" s="286">
        <v>388</v>
      </c>
      <c r="I24" s="286">
        <v>393</v>
      </c>
      <c r="J24" s="286">
        <v>310</v>
      </c>
      <c r="K24" s="286">
        <v>317</v>
      </c>
      <c r="L24" s="324">
        <v>1408</v>
      </c>
      <c r="M24" s="286">
        <v>310</v>
      </c>
      <c r="N24" s="286">
        <v>314</v>
      </c>
      <c r="O24" s="286">
        <v>318</v>
      </c>
      <c r="P24" s="286">
        <v>327</v>
      </c>
      <c r="Q24" s="324">
        <f t="shared" si="0"/>
        <v>1269</v>
      </c>
      <c r="R24" s="286">
        <v>324</v>
      </c>
      <c r="S24" s="286">
        <v>312</v>
      </c>
      <c r="T24" s="286">
        <v>328</v>
      </c>
      <c r="U24" s="286">
        <v>353</v>
      </c>
      <c r="V24" s="324">
        <f t="shared" si="1"/>
        <v>1317</v>
      </c>
      <c r="W24" s="286">
        <v>361</v>
      </c>
      <c r="X24" s="286">
        <v>374</v>
      </c>
      <c r="Y24" s="286">
        <v>394</v>
      </c>
      <c r="Z24" s="286">
        <v>439</v>
      </c>
      <c r="AA24" s="324">
        <f t="shared" si="2"/>
        <v>1568</v>
      </c>
      <c r="AB24" s="286">
        <v>412</v>
      </c>
      <c r="AC24" s="286">
        <v>451</v>
      </c>
      <c r="AD24" s="286">
        <v>452</v>
      </c>
      <c r="AE24" s="286">
        <v>476</v>
      </c>
      <c r="AF24" s="324">
        <v>1791</v>
      </c>
      <c r="AG24" s="286">
        <v>571</v>
      </c>
      <c r="AH24" s="286">
        <v>589</v>
      </c>
      <c r="AI24" s="286">
        <v>595</v>
      </c>
      <c r="AJ24" s="286">
        <v>625</v>
      </c>
      <c r="AK24" s="324">
        <f t="shared" si="3"/>
        <v>2380</v>
      </c>
      <c r="AL24" s="286">
        <v>624</v>
      </c>
      <c r="AM24" s="577"/>
    </row>
    <row r="25" spans="2:39">
      <c r="B25" s="285" t="str">
        <f>names!$A1028</f>
        <v xml:space="preserve">  Detal</v>
      </c>
      <c r="C25" s="286">
        <f t="shared" si="4"/>
        <v>86</v>
      </c>
      <c r="D25" s="286">
        <v>87</v>
      </c>
      <c r="E25" s="286">
        <v>90</v>
      </c>
      <c r="F25" s="286">
        <v>88</v>
      </c>
      <c r="G25" s="324">
        <v>351</v>
      </c>
      <c r="H25" s="286">
        <v>90</v>
      </c>
      <c r="I25" s="286">
        <v>85</v>
      </c>
      <c r="J25" s="286">
        <v>89</v>
      </c>
      <c r="K25" s="286">
        <v>91</v>
      </c>
      <c r="L25" s="324">
        <v>355</v>
      </c>
      <c r="M25" s="286">
        <v>91</v>
      </c>
      <c r="N25" s="286">
        <v>90</v>
      </c>
      <c r="O25" s="286">
        <v>92</v>
      </c>
      <c r="P25" s="286">
        <v>95</v>
      </c>
      <c r="Q25" s="324">
        <f t="shared" si="0"/>
        <v>368</v>
      </c>
      <c r="R25" s="286">
        <v>97</v>
      </c>
      <c r="S25" s="286">
        <v>99</v>
      </c>
      <c r="T25" s="286">
        <v>99</v>
      </c>
      <c r="U25" s="286">
        <v>97</v>
      </c>
      <c r="V25" s="324">
        <f t="shared" si="1"/>
        <v>392</v>
      </c>
      <c r="W25" s="286">
        <v>103</v>
      </c>
      <c r="X25" s="286">
        <v>103</v>
      </c>
      <c r="Y25" s="286">
        <v>104</v>
      </c>
      <c r="Z25" s="286">
        <v>112</v>
      </c>
      <c r="AA25" s="324">
        <f t="shared" si="2"/>
        <v>422</v>
      </c>
      <c r="AB25" s="286">
        <v>114</v>
      </c>
      <c r="AC25" s="286">
        <v>114</v>
      </c>
      <c r="AD25" s="286">
        <v>115</v>
      </c>
      <c r="AE25" s="286">
        <v>118</v>
      </c>
      <c r="AF25" s="324">
        <v>461</v>
      </c>
      <c r="AG25" s="286">
        <v>157</v>
      </c>
      <c r="AH25" s="286">
        <v>153</v>
      </c>
      <c r="AI25" s="286">
        <v>158</v>
      </c>
      <c r="AJ25" s="286">
        <v>162</v>
      </c>
      <c r="AK25" s="324">
        <f t="shared" si="3"/>
        <v>630</v>
      </c>
      <c r="AL25" s="286">
        <v>167</v>
      </c>
      <c r="AM25" s="577"/>
    </row>
    <row r="26" spans="2:39">
      <c r="B26" s="285" t="str">
        <f>names!$A1029</f>
        <v xml:space="preserve">  Wydobycie</v>
      </c>
      <c r="C26" s="286">
        <v>0</v>
      </c>
      <c r="D26" s="286">
        <v>1</v>
      </c>
      <c r="E26" s="286">
        <v>1</v>
      </c>
      <c r="F26" s="286">
        <v>4</v>
      </c>
      <c r="G26" s="324">
        <v>6</v>
      </c>
      <c r="H26" s="286">
        <v>17</v>
      </c>
      <c r="I26" s="286">
        <v>20</v>
      </c>
      <c r="J26" s="286">
        <v>37</v>
      </c>
      <c r="K26" s="286">
        <v>48</v>
      </c>
      <c r="L26" s="324">
        <v>122</v>
      </c>
      <c r="M26" s="286">
        <v>34</v>
      </c>
      <c r="N26" s="286">
        <v>39</v>
      </c>
      <c r="O26" s="286">
        <v>36</v>
      </c>
      <c r="P26" s="286">
        <v>64</v>
      </c>
      <c r="Q26" s="324">
        <f t="shared" si="0"/>
        <v>173</v>
      </c>
      <c r="R26" s="286">
        <v>71</v>
      </c>
      <c r="S26" s="286">
        <v>72</v>
      </c>
      <c r="T26" s="286">
        <v>85</v>
      </c>
      <c r="U26" s="286">
        <v>73</v>
      </c>
      <c r="V26" s="324">
        <f t="shared" si="1"/>
        <v>301</v>
      </c>
      <c r="W26" s="286">
        <v>75</v>
      </c>
      <c r="X26" s="286">
        <v>78</v>
      </c>
      <c r="Y26" s="286">
        <v>89</v>
      </c>
      <c r="Z26" s="286">
        <v>76</v>
      </c>
      <c r="AA26" s="324">
        <f t="shared" si="2"/>
        <v>318</v>
      </c>
      <c r="AB26" s="286">
        <v>75</v>
      </c>
      <c r="AC26" s="286">
        <v>82</v>
      </c>
      <c r="AD26" s="286">
        <v>80</v>
      </c>
      <c r="AE26" s="286">
        <v>71</v>
      </c>
      <c r="AF26" s="324">
        <v>308</v>
      </c>
      <c r="AG26" s="286">
        <v>70</v>
      </c>
      <c r="AH26" s="286">
        <v>66</v>
      </c>
      <c r="AI26" s="286">
        <v>100</v>
      </c>
      <c r="AJ26" s="286">
        <v>83</v>
      </c>
      <c r="AK26" s="324">
        <f t="shared" si="3"/>
        <v>319</v>
      </c>
      <c r="AL26" s="286">
        <v>94</v>
      </c>
      <c r="AM26" s="577"/>
    </row>
    <row r="27" spans="2:39" ht="13.5" thickBot="1">
      <c r="B27" s="285" t="str">
        <f>names!$A1030</f>
        <v xml:space="preserve">  Corporate functions 1)</v>
      </c>
      <c r="C27" s="286">
        <f t="shared" si="4"/>
        <v>29</v>
      </c>
      <c r="D27" s="286">
        <v>27</v>
      </c>
      <c r="E27" s="286">
        <v>32</v>
      </c>
      <c r="F27" s="286">
        <v>33</v>
      </c>
      <c r="G27" s="324">
        <v>121</v>
      </c>
      <c r="H27" s="286">
        <v>27</v>
      </c>
      <c r="I27" s="286">
        <v>26</v>
      </c>
      <c r="J27" s="286">
        <v>24</v>
      </c>
      <c r="K27" s="286">
        <v>29</v>
      </c>
      <c r="L27" s="324">
        <v>106</v>
      </c>
      <c r="M27" s="286">
        <v>17</v>
      </c>
      <c r="N27" s="286">
        <v>21</v>
      </c>
      <c r="O27" s="286">
        <v>23</v>
      </c>
      <c r="P27" s="286">
        <v>24</v>
      </c>
      <c r="Q27" s="324">
        <f t="shared" si="0"/>
        <v>85</v>
      </c>
      <c r="R27" s="286">
        <v>23</v>
      </c>
      <c r="S27" s="286">
        <v>25</v>
      </c>
      <c r="T27" s="286">
        <v>25</v>
      </c>
      <c r="U27" s="286">
        <v>27</v>
      </c>
      <c r="V27" s="324">
        <f t="shared" si="1"/>
        <v>100</v>
      </c>
      <c r="W27" s="286">
        <v>23</v>
      </c>
      <c r="X27" s="286">
        <v>26</v>
      </c>
      <c r="Y27" s="286">
        <v>29</v>
      </c>
      <c r="Z27" s="286">
        <v>35</v>
      </c>
      <c r="AA27" s="324">
        <f t="shared" si="2"/>
        <v>113</v>
      </c>
      <c r="AB27" s="286">
        <v>25</v>
      </c>
      <c r="AC27" s="286">
        <v>26</v>
      </c>
      <c r="AD27" s="286">
        <v>30</v>
      </c>
      <c r="AE27" s="286">
        <v>32</v>
      </c>
      <c r="AF27" s="324">
        <v>113</v>
      </c>
      <c r="AG27" s="286">
        <v>35</v>
      </c>
      <c r="AH27" s="286">
        <v>38</v>
      </c>
      <c r="AI27" s="286">
        <v>40</v>
      </c>
      <c r="AJ27" s="286">
        <v>55</v>
      </c>
      <c r="AK27" s="324">
        <f t="shared" si="3"/>
        <v>168</v>
      </c>
      <c r="AL27" s="286">
        <v>50</v>
      </c>
      <c r="AM27" s="577"/>
    </row>
    <row r="28" spans="2:39">
      <c r="B28" s="290" t="str">
        <f>names!$A1031</f>
        <v>Zysk/(Strata) z działalności operacyjnej wg LIFO (EBIT LIFO), w tym:</v>
      </c>
      <c r="C28" s="274">
        <v>387</v>
      </c>
      <c r="D28" s="274">
        <v>299</v>
      </c>
      <c r="E28" s="275">
        <v>239</v>
      </c>
      <c r="F28" s="275">
        <v>50</v>
      </c>
      <c r="G28" s="321">
        <v>975</v>
      </c>
      <c r="H28" s="276">
        <v>431</v>
      </c>
      <c r="I28" s="275">
        <v>-4670</v>
      </c>
      <c r="J28" s="275">
        <v>1657</v>
      </c>
      <c r="K28" s="275">
        <v>444</v>
      </c>
      <c r="L28" s="321">
        <v>-2138</v>
      </c>
      <c r="M28" s="275">
        <v>1447</v>
      </c>
      <c r="N28" s="275">
        <v>1994</v>
      </c>
      <c r="O28" s="275">
        <v>1490</v>
      </c>
      <c r="P28" s="275">
        <v>919</v>
      </c>
      <c r="Q28" s="321">
        <f t="shared" si="0"/>
        <v>5850</v>
      </c>
      <c r="R28" s="275">
        <v>1415</v>
      </c>
      <c r="S28" s="275">
        <v>2082</v>
      </c>
      <c r="T28" s="275">
        <v>1687</v>
      </c>
      <c r="U28" s="275">
        <v>2263</v>
      </c>
      <c r="V28" s="321">
        <f t="shared" si="1"/>
        <v>7447</v>
      </c>
      <c r="W28" s="275">
        <v>1757</v>
      </c>
      <c r="X28" s="275">
        <v>2464</v>
      </c>
      <c r="Y28" s="275">
        <v>2381</v>
      </c>
      <c r="Z28" s="275">
        <v>1256</v>
      </c>
      <c r="AA28" s="321">
        <f t="shared" si="2"/>
        <v>7858</v>
      </c>
      <c r="AB28" s="275">
        <v>1270</v>
      </c>
      <c r="AC28" s="275">
        <v>1438</v>
      </c>
      <c r="AD28" s="275">
        <v>1712</v>
      </c>
      <c r="AE28" s="275">
        <v>2125</v>
      </c>
      <c r="AF28" s="321">
        <v>6355</v>
      </c>
      <c r="AG28" s="275">
        <v>1171</v>
      </c>
      <c r="AH28" s="275">
        <v>1869</v>
      </c>
      <c r="AI28" s="275">
        <v>2201</v>
      </c>
      <c r="AJ28" s="275">
        <v>255</v>
      </c>
      <c r="AK28" s="321">
        <f t="shared" si="3"/>
        <v>5496</v>
      </c>
      <c r="AL28" s="275">
        <v>168</v>
      </c>
      <c r="AM28" s="577"/>
    </row>
    <row r="29" spans="2:39">
      <c r="B29" s="285" t="str">
        <f>names!$A1032</f>
        <v xml:space="preserve">  Downstream</v>
      </c>
      <c r="C29" s="286">
        <f t="shared" si="4"/>
        <v>524</v>
      </c>
      <c r="D29" s="287">
        <f>D13-D24</f>
        <v>195</v>
      </c>
      <c r="E29" s="286">
        <v>16</v>
      </c>
      <c r="F29" s="286">
        <v>39</v>
      </c>
      <c r="G29" s="324">
        <v>774</v>
      </c>
      <c r="H29" s="286">
        <v>433</v>
      </c>
      <c r="I29" s="286">
        <f>I13-I24</f>
        <v>-4773</v>
      </c>
      <c r="J29" s="286">
        <v>1456</v>
      </c>
      <c r="K29" s="286">
        <v>624</v>
      </c>
      <c r="L29" s="324">
        <v>-2260</v>
      </c>
      <c r="M29" s="286">
        <v>1431</v>
      </c>
      <c r="N29" s="286">
        <v>2389</v>
      </c>
      <c r="O29" s="286">
        <v>1231</v>
      </c>
      <c r="P29" s="286">
        <v>1320</v>
      </c>
      <c r="Q29" s="324">
        <f t="shared" si="0"/>
        <v>6371</v>
      </c>
      <c r="R29" s="286">
        <v>1425</v>
      </c>
      <c r="S29" s="286">
        <v>1976</v>
      </c>
      <c r="T29" s="286">
        <v>1365</v>
      </c>
      <c r="U29" s="286">
        <v>2242</v>
      </c>
      <c r="V29" s="324">
        <f t="shared" si="1"/>
        <v>7008</v>
      </c>
      <c r="W29" s="286">
        <v>1659</v>
      </c>
      <c r="X29" s="286">
        <v>2177</v>
      </c>
      <c r="Y29" s="286">
        <v>2116</v>
      </c>
      <c r="Z29" s="286">
        <v>1181</v>
      </c>
      <c r="AA29" s="324">
        <f t="shared" si="2"/>
        <v>7133</v>
      </c>
      <c r="AB29" s="286">
        <v>1099</v>
      </c>
      <c r="AC29" s="286">
        <v>1125</v>
      </c>
      <c r="AD29" s="286">
        <v>1308</v>
      </c>
      <c r="AE29" s="286">
        <v>1590</v>
      </c>
      <c r="AF29" s="324">
        <v>4932</v>
      </c>
      <c r="AG29" s="286">
        <v>867</v>
      </c>
      <c r="AH29" s="286">
        <v>1396</v>
      </c>
      <c r="AI29" s="286">
        <v>1798</v>
      </c>
      <c r="AJ29" s="286">
        <v>169</v>
      </c>
      <c r="AK29" s="324">
        <f t="shared" si="3"/>
        <v>4230</v>
      </c>
      <c r="AL29" s="286">
        <v>273</v>
      </c>
      <c r="AM29" s="577"/>
    </row>
    <row r="30" spans="2:39">
      <c r="B30" s="285" t="str">
        <f>names!$A1033</f>
        <v xml:space="preserve">  Detal</v>
      </c>
      <c r="C30" s="286">
        <v>37</v>
      </c>
      <c r="D30" s="286">
        <f>D14-D25</f>
        <v>282</v>
      </c>
      <c r="E30" s="286">
        <v>361</v>
      </c>
      <c r="F30" s="286">
        <v>237</v>
      </c>
      <c r="G30" s="324">
        <v>917</v>
      </c>
      <c r="H30" s="286">
        <v>144</v>
      </c>
      <c r="I30" s="286">
        <f>I14-I25</f>
        <v>272</v>
      </c>
      <c r="J30" s="286">
        <v>352</v>
      </c>
      <c r="K30" s="286">
        <v>317</v>
      </c>
      <c r="L30" s="324">
        <v>1085</v>
      </c>
      <c r="M30" s="286">
        <v>192</v>
      </c>
      <c r="N30" s="286">
        <v>253</v>
      </c>
      <c r="O30" s="286">
        <v>452</v>
      </c>
      <c r="P30" s="286">
        <v>274</v>
      </c>
      <c r="Q30" s="324">
        <f t="shared" si="0"/>
        <v>1171</v>
      </c>
      <c r="R30" s="286">
        <v>203</v>
      </c>
      <c r="S30" s="286">
        <v>343</v>
      </c>
      <c r="T30" s="286">
        <v>519</v>
      </c>
      <c r="U30" s="286">
        <v>337</v>
      </c>
      <c r="V30" s="324">
        <f t="shared" si="1"/>
        <v>1402</v>
      </c>
      <c r="W30" s="286">
        <v>269</v>
      </c>
      <c r="X30" s="286">
        <v>461</v>
      </c>
      <c r="Y30" s="286">
        <v>505</v>
      </c>
      <c r="Z30" s="286">
        <v>381</v>
      </c>
      <c r="AA30" s="324">
        <f t="shared" si="2"/>
        <v>1616</v>
      </c>
      <c r="AB30" s="286">
        <v>357</v>
      </c>
      <c r="AC30" s="286">
        <v>563</v>
      </c>
      <c r="AD30" s="286">
        <v>597</v>
      </c>
      <c r="AE30" s="286">
        <v>789</v>
      </c>
      <c r="AF30" s="324">
        <v>2306</v>
      </c>
      <c r="AG30" s="286">
        <v>521</v>
      </c>
      <c r="AH30" s="286">
        <v>702</v>
      </c>
      <c r="AI30" s="286">
        <v>766</v>
      </c>
      <c r="AJ30" s="286">
        <v>442</v>
      </c>
      <c r="AK30" s="324">
        <f t="shared" si="3"/>
        <v>2431</v>
      </c>
      <c r="AL30" s="286">
        <v>535</v>
      </c>
      <c r="AM30" s="577"/>
    </row>
    <row r="31" spans="2:39">
      <c r="B31" s="285" t="str">
        <f>names!$A1034</f>
        <v xml:space="preserve">  Wydobycie</v>
      </c>
      <c r="C31" s="286">
        <f t="shared" si="4"/>
        <v>-6</v>
      </c>
      <c r="D31" s="286">
        <f>D15-D26</f>
        <v>-4</v>
      </c>
      <c r="E31" s="286">
        <v>-10</v>
      </c>
      <c r="F31" s="286">
        <v>-18</v>
      </c>
      <c r="G31" s="324">
        <v>-38</v>
      </c>
      <c r="H31" s="286">
        <v>14</v>
      </c>
      <c r="I31" s="286">
        <f>I15-I26</f>
        <v>-1</v>
      </c>
      <c r="J31" s="286">
        <v>15</v>
      </c>
      <c r="K31" s="286">
        <v>-320</v>
      </c>
      <c r="L31" s="324">
        <v>-292</v>
      </c>
      <c r="M31" s="286">
        <v>-20</v>
      </c>
      <c r="N31" s="286">
        <v>-455</v>
      </c>
      <c r="O31" s="286">
        <v>-26</v>
      </c>
      <c r="P31" s="286">
        <v>-480</v>
      </c>
      <c r="Q31" s="324">
        <f t="shared" si="0"/>
        <v>-981</v>
      </c>
      <c r="R31" s="286">
        <v>-44</v>
      </c>
      <c r="S31" s="286">
        <v>-32</v>
      </c>
      <c r="T31" s="286">
        <v>-26</v>
      </c>
      <c r="U31" s="286">
        <v>-17</v>
      </c>
      <c r="V31" s="324">
        <f t="shared" si="1"/>
        <v>-119</v>
      </c>
      <c r="W31" s="286">
        <v>4</v>
      </c>
      <c r="X31" s="286">
        <v>4</v>
      </c>
      <c r="Y31" s="286">
        <v>-78</v>
      </c>
      <c r="Z31" s="286">
        <v>-95</v>
      </c>
      <c r="AA31" s="324">
        <f t="shared" si="2"/>
        <v>-165</v>
      </c>
      <c r="AB31" s="286">
        <v>-9</v>
      </c>
      <c r="AC31" s="286">
        <v>-10</v>
      </c>
      <c r="AD31" s="286">
        <v>6</v>
      </c>
      <c r="AE31" s="286">
        <v>-8</v>
      </c>
      <c r="AF31" s="324">
        <v>-21</v>
      </c>
      <c r="AG31" s="286">
        <v>23</v>
      </c>
      <c r="AH31" s="286">
        <v>16</v>
      </c>
      <c r="AI31" s="286">
        <v>-77</v>
      </c>
      <c r="AJ31" s="286">
        <v>-117</v>
      </c>
      <c r="AK31" s="324">
        <f t="shared" si="3"/>
        <v>-155</v>
      </c>
      <c r="AL31" s="286">
        <v>-371</v>
      </c>
      <c r="AM31" s="577"/>
    </row>
    <row r="32" spans="2:39">
      <c r="B32" s="285" t="str">
        <f>names!$A1035</f>
        <v xml:space="preserve">  Corporate functions 1)</v>
      </c>
      <c r="C32" s="286">
        <v>-168</v>
      </c>
      <c r="D32" s="286">
        <f>D16-D27</f>
        <v>-174</v>
      </c>
      <c r="E32" s="286">
        <v>-128</v>
      </c>
      <c r="F32" s="286">
        <v>-208</v>
      </c>
      <c r="G32" s="324">
        <v>-678</v>
      </c>
      <c r="H32" s="286">
        <v>-160</v>
      </c>
      <c r="I32" s="286">
        <f>I16-I27</f>
        <v>-168</v>
      </c>
      <c r="J32" s="286">
        <v>-166</v>
      </c>
      <c r="K32" s="286">
        <v>-177</v>
      </c>
      <c r="L32" s="324">
        <v>-671</v>
      </c>
      <c r="M32" s="286">
        <v>-156</v>
      </c>
      <c r="N32" s="286">
        <v>-193</v>
      </c>
      <c r="O32" s="286">
        <v>-167</v>
      </c>
      <c r="P32" s="286">
        <v>-195</v>
      </c>
      <c r="Q32" s="324">
        <f t="shared" si="0"/>
        <v>-711</v>
      </c>
      <c r="R32" s="286">
        <v>-169</v>
      </c>
      <c r="S32" s="286">
        <v>-205</v>
      </c>
      <c r="T32" s="286">
        <v>-171</v>
      </c>
      <c r="U32" s="286">
        <v>-299</v>
      </c>
      <c r="V32" s="324">
        <f t="shared" si="1"/>
        <v>-844</v>
      </c>
      <c r="W32" s="286">
        <v>-175</v>
      </c>
      <c r="X32" s="286">
        <v>-178</v>
      </c>
      <c r="Y32" s="286">
        <v>-162</v>
      </c>
      <c r="Z32" s="286">
        <v>-211</v>
      </c>
      <c r="AA32" s="324">
        <f t="shared" si="2"/>
        <v>-726</v>
      </c>
      <c r="AB32" s="286">
        <v>-177</v>
      </c>
      <c r="AC32" s="286">
        <v>-240</v>
      </c>
      <c r="AD32" s="286">
        <v>-199</v>
      </c>
      <c r="AE32" s="286">
        <v>-246</v>
      </c>
      <c r="AF32" s="324">
        <v>-862</v>
      </c>
      <c r="AG32" s="286">
        <v>-240</v>
      </c>
      <c r="AH32" s="286">
        <v>-245</v>
      </c>
      <c r="AI32" s="286">
        <v>-286</v>
      </c>
      <c r="AJ32" s="286">
        <v>-239</v>
      </c>
      <c r="AK32" s="324">
        <f t="shared" si="3"/>
        <v>-1010</v>
      </c>
      <c r="AL32" s="286">
        <v>-269</v>
      </c>
      <c r="AM32" s="577"/>
    </row>
    <row r="33" spans="2:39" ht="13.5" thickBot="1">
      <c r="B33" s="293" t="str">
        <f>names!$A1036</f>
        <v>Zysk/(Strata) z działalności operacyjnej (EBIT)</v>
      </c>
      <c r="C33" s="294">
        <v>334</v>
      </c>
      <c r="D33" s="294">
        <v>-140</v>
      </c>
      <c r="E33" s="295">
        <v>601</v>
      </c>
      <c r="F33" s="295">
        <v>-488</v>
      </c>
      <c r="G33" s="325">
        <v>307</v>
      </c>
      <c r="H33" s="296">
        <v>254</v>
      </c>
      <c r="I33" s="295">
        <v>-4817</v>
      </c>
      <c r="J33" s="295">
        <v>1001</v>
      </c>
      <c r="K33" s="295">
        <v>-1149</v>
      </c>
      <c r="L33" s="325">
        <v>-4711</v>
      </c>
      <c r="M33" s="295">
        <v>1210</v>
      </c>
      <c r="N33" s="295">
        <v>2163</v>
      </c>
      <c r="O33" s="295">
        <v>1156</v>
      </c>
      <c r="P33" s="295">
        <v>-189</v>
      </c>
      <c r="Q33" s="325">
        <f t="shared" si="0"/>
        <v>4340</v>
      </c>
      <c r="R33" s="295">
        <v>478</v>
      </c>
      <c r="S33" s="295">
        <v>2491</v>
      </c>
      <c r="T33" s="295">
        <v>1774</v>
      </c>
      <c r="U33" s="295">
        <v>2789</v>
      </c>
      <c r="V33" s="325">
        <f t="shared" si="1"/>
        <v>7532</v>
      </c>
      <c r="W33" s="295">
        <v>2276</v>
      </c>
      <c r="X33" s="295">
        <v>2120</v>
      </c>
      <c r="Y33" s="295">
        <v>2274</v>
      </c>
      <c r="Z33" s="295">
        <v>1987</v>
      </c>
      <c r="AA33" s="325">
        <f t="shared" si="2"/>
        <v>8657</v>
      </c>
      <c r="AB33" s="295">
        <v>1414</v>
      </c>
      <c r="AC33" s="295">
        <v>2374</v>
      </c>
      <c r="AD33" s="295">
        <v>2291</v>
      </c>
      <c r="AE33" s="295">
        <v>1326</v>
      </c>
      <c r="AF33" s="325">
        <v>7215</v>
      </c>
      <c r="AG33" s="295">
        <v>996</v>
      </c>
      <c r="AH33" s="295">
        <v>2086</v>
      </c>
      <c r="AI33" s="295">
        <v>1807</v>
      </c>
      <c r="AJ33" s="295">
        <v>476</v>
      </c>
      <c r="AK33" s="325">
        <f t="shared" si="3"/>
        <v>5365</v>
      </c>
      <c r="AL33" s="295">
        <v>-1904</v>
      </c>
      <c r="AM33" s="577"/>
    </row>
    <row r="34" spans="2:39">
      <c r="B34" s="297" t="str">
        <f>names!$A1037</f>
        <v>Zysk/(Strata) netto</v>
      </c>
      <c r="C34" s="278">
        <v>145</v>
      </c>
      <c r="D34" s="278">
        <v>-229</v>
      </c>
      <c r="E34" s="278">
        <v>652</v>
      </c>
      <c r="F34" s="279">
        <v>-478</v>
      </c>
      <c r="G34" s="322">
        <v>90</v>
      </c>
      <c r="H34" s="280">
        <v>126</v>
      </c>
      <c r="I34" s="279">
        <v>-5390</v>
      </c>
      <c r="J34" s="279">
        <v>615</v>
      </c>
      <c r="K34" s="279">
        <v>-1179</v>
      </c>
      <c r="L34" s="322">
        <v>-5828</v>
      </c>
      <c r="M34" s="279">
        <v>868</v>
      </c>
      <c r="N34" s="279">
        <v>1549</v>
      </c>
      <c r="O34" s="279">
        <v>885</v>
      </c>
      <c r="P34" s="279">
        <v>-69</v>
      </c>
      <c r="Q34" s="322">
        <f t="shared" si="0"/>
        <v>3233</v>
      </c>
      <c r="R34" s="279">
        <v>336</v>
      </c>
      <c r="S34" s="279">
        <v>1792</v>
      </c>
      <c r="T34" s="279">
        <v>1569</v>
      </c>
      <c r="U34" s="279">
        <v>2043</v>
      </c>
      <c r="V34" s="322">
        <f t="shared" si="1"/>
        <v>5740</v>
      </c>
      <c r="W34" s="279">
        <v>2088</v>
      </c>
      <c r="X34" s="279">
        <v>1754</v>
      </c>
      <c r="Y34" s="279">
        <v>1697</v>
      </c>
      <c r="Z34" s="279">
        <v>1634</v>
      </c>
      <c r="AA34" s="322">
        <f t="shared" si="2"/>
        <v>7173</v>
      </c>
      <c r="AB34" s="279">
        <v>1044</v>
      </c>
      <c r="AC34" s="279">
        <v>1773</v>
      </c>
      <c r="AD34" s="279">
        <v>2075</v>
      </c>
      <c r="AE34" s="279">
        <v>902</v>
      </c>
      <c r="AF34" s="322">
        <v>5604</v>
      </c>
      <c r="AG34" s="279">
        <v>849</v>
      </c>
      <c r="AH34" s="279">
        <v>1601</v>
      </c>
      <c r="AI34" s="279">
        <v>1266</v>
      </c>
      <c r="AJ34" s="279">
        <v>582</v>
      </c>
      <c r="AK34" s="322">
        <f t="shared" si="3"/>
        <v>4298</v>
      </c>
      <c r="AL34" s="279">
        <v>-2245</v>
      </c>
      <c r="AM34" s="577"/>
    </row>
    <row r="35" spans="2:39" ht="13.5" thickBot="1">
      <c r="B35" s="298" t="str">
        <f>names!$A1038</f>
        <v>Zysk/(Strata) akcjonariuszy Jednostki Dominującej</v>
      </c>
      <c r="C35" s="299">
        <v>149</v>
      </c>
      <c r="D35" s="299">
        <v>-207</v>
      </c>
      <c r="E35" s="299">
        <v>655</v>
      </c>
      <c r="F35" s="289">
        <v>-421</v>
      </c>
      <c r="G35" s="326">
        <v>176</v>
      </c>
      <c r="H35" s="288">
        <v>64</v>
      </c>
      <c r="I35" s="289">
        <v>-5197</v>
      </c>
      <c r="J35" s="289">
        <v>538</v>
      </c>
      <c r="K35" s="289">
        <v>-1216</v>
      </c>
      <c r="L35" s="326">
        <v>-5811</v>
      </c>
      <c r="M35" s="289">
        <v>756</v>
      </c>
      <c r="N35" s="289">
        <v>1367</v>
      </c>
      <c r="O35" s="289">
        <v>795</v>
      </c>
      <c r="P35" s="289">
        <v>-81</v>
      </c>
      <c r="Q35" s="326">
        <f t="shared" si="0"/>
        <v>2837</v>
      </c>
      <c r="R35" s="289">
        <v>337</v>
      </c>
      <c r="S35" s="289">
        <v>1608</v>
      </c>
      <c r="T35" s="289">
        <v>1527</v>
      </c>
      <c r="U35" s="289">
        <v>1789</v>
      </c>
      <c r="V35" s="326">
        <f t="shared" si="1"/>
        <v>5261</v>
      </c>
      <c r="W35" s="289">
        <v>1920</v>
      </c>
      <c r="X35" s="289">
        <v>1541</v>
      </c>
      <c r="Y35" s="289">
        <v>1603</v>
      </c>
      <c r="Z35" s="289">
        <v>1591</v>
      </c>
      <c r="AA35" s="326">
        <f t="shared" si="2"/>
        <v>6655</v>
      </c>
      <c r="AB35" s="289">
        <v>1042</v>
      </c>
      <c r="AC35" s="289">
        <v>1744</v>
      </c>
      <c r="AD35" s="289">
        <v>2063</v>
      </c>
      <c r="AE35" s="289">
        <v>897</v>
      </c>
      <c r="AF35" s="326">
        <v>5556</v>
      </c>
      <c r="AG35" s="289">
        <v>849</v>
      </c>
      <c r="AH35" s="289">
        <v>1602</v>
      </c>
      <c r="AI35" s="289">
        <v>1266</v>
      </c>
      <c r="AJ35" s="289">
        <v>583</v>
      </c>
      <c r="AK35" s="326">
        <f t="shared" si="3"/>
        <v>4300</v>
      </c>
      <c r="AL35" s="289">
        <v>-2244</v>
      </c>
      <c r="AM35" s="577"/>
    </row>
    <row r="36" spans="2:39">
      <c r="B36" s="300" t="str">
        <f>names!$A1039</f>
        <v>Aktywa razem</v>
      </c>
      <c r="C36" s="301">
        <v>53330</v>
      </c>
      <c r="D36" s="301">
        <v>54131</v>
      </c>
      <c r="E36" s="301">
        <v>53256</v>
      </c>
      <c r="F36" s="302">
        <v>51352</v>
      </c>
      <c r="G36" s="327">
        <v>51352</v>
      </c>
      <c r="H36" s="302">
        <v>53006</v>
      </c>
      <c r="I36" s="302">
        <v>50607</v>
      </c>
      <c r="J36" s="302">
        <v>50984</v>
      </c>
      <c r="K36" s="302">
        <v>46725</v>
      </c>
      <c r="L36" s="327">
        <v>46725</v>
      </c>
      <c r="M36" s="302">
        <v>46535</v>
      </c>
      <c r="N36" s="302">
        <v>49025</v>
      </c>
      <c r="O36" s="302">
        <v>49866</v>
      </c>
      <c r="P36" s="302">
        <v>48137</v>
      </c>
      <c r="Q36" s="327">
        <f>P36</f>
        <v>48137</v>
      </c>
      <c r="R36" s="302">
        <v>48217</v>
      </c>
      <c r="S36" s="302">
        <v>51809</v>
      </c>
      <c r="T36" s="302">
        <v>51604</v>
      </c>
      <c r="U36" s="302">
        <v>55559</v>
      </c>
      <c r="V36" s="327">
        <f>U36</f>
        <v>55559</v>
      </c>
      <c r="W36" s="302">
        <v>54595</v>
      </c>
      <c r="X36" s="302">
        <v>56489</v>
      </c>
      <c r="Y36" s="302">
        <v>59076</v>
      </c>
      <c r="Z36" s="302">
        <v>60664</v>
      </c>
      <c r="AA36" s="327">
        <f>Z36</f>
        <v>60664</v>
      </c>
      <c r="AB36" s="302">
        <v>60092</v>
      </c>
      <c r="AC36" s="302">
        <v>64571</v>
      </c>
      <c r="AD36" s="302">
        <v>67456</v>
      </c>
      <c r="AE36" s="302">
        <v>64141</v>
      </c>
      <c r="AF36" s="327">
        <v>64141</v>
      </c>
      <c r="AG36" s="302">
        <v>68983</v>
      </c>
      <c r="AH36" s="302">
        <v>70770</v>
      </c>
      <c r="AI36" s="302">
        <v>71551</v>
      </c>
      <c r="AJ36" s="302">
        <v>71202</v>
      </c>
      <c r="AK36" s="327">
        <f>AJ36</f>
        <v>71202</v>
      </c>
      <c r="AL36" s="302">
        <v>68361</v>
      </c>
      <c r="AM36" s="577"/>
    </row>
    <row r="37" spans="2:39">
      <c r="B37" s="300" t="str">
        <f>names!$A1040</f>
        <v>Kapitał własny</v>
      </c>
      <c r="C37" s="301">
        <v>28563</v>
      </c>
      <c r="D37" s="301">
        <v>27761</v>
      </c>
      <c r="E37" s="301">
        <v>28364</v>
      </c>
      <c r="F37" s="302">
        <v>27551</v>
      </c>
      <c r="G37" s="327">
        <v>27551</v>
      </c>
      <c r="H37" s="302">
        <v>27612</v>
      </c>
      <c r="I37" s="302">
        <v>22195</v>
      </c>
      <c r="J37" s="302">
        <v>22743</v>
      </c>
      <c r="K37" s="302">
        <v>20386</v>
      </c>
      <c r="L37" s="327">
        <v>20386</v>
      </c>
      <c r="M37" s="302">
        <v>21354</v>
      </c>
      <c r="N37" s="302">
        <v>22407</v>
      </c>
      <c r="O37" s="302">
        <v>24101</v>
      </c>
      <c r="P37" s="302">
        <v>24244</v>
      </c>
      <c r="Q37" s="327">
        <f>P37</f>
        <v>24244</v>
      </c>
      <c r="R37" s="302">
        <v>24460</v>
      </c>
      <c r="S37" s="302">
        <v>25592</v>
      </c>
      <c r="T37" s="302">
        <v>27081</v>
      </c>
      <c r="U37" s="302">
        <v>29285</v>
      </c>
      <c r="V37" s="327">
        <f>U37</f>
        <v>29285</v>
      </c>
      <c r="W37" s="302">
        <v>31449</v>
      </c>
      <c r="X37" s="302">
        <v>31939</v>
      </c>
      <c r="Y37" s="302">
        <v>33823</v>
      </c>
      <c r="Z37" s="302">
        <v>35211</v>
      </c>
      <c r="AA37" s="327">
        <f>Z37</f>
        <v>35211</v>
      </c>
      <c r="AB37" s="302">
        <v>32728</v>
      </c>
      <c r="AC37" s="302">
        <v>33442</v>
      </c>
      <c r="AD37" s="302">
        <v>35373</v>
      </c>
      <c r="AE37" s="302">
        <v>35739</v>
      </c>
      <c r="AF37" s="327">
        <v>35739</v>
      </c>
      <c r="AG37" s="302">
        <v>36425</v>
      </c>
      <c r="AH37" s="302">
        <v>36641</v>
      </c>
      <c r="AI37" s="302">
        <v>38227</v>
      </c>
      <c r="AJ37" s="302">
        <v>38607</v>
      </c>
      <c r="AK37" s="327">
        <f>AJ37</f>
        <v>38607</v>
      </c>
      <c r="AL37" s="302">
        <v>36332</v>
      </c>
      <c r="AM37" s="577"/>
    </row>
    <row r="38" spans="2:39" ht="13.5" thickBot="1">
      <c r="B38" s="303" t="str">
        <f>names!$A1041</f>
        <v>Dług netto</v>
      </c>
      <c r="C38" s="304">
        <v>8507</v>
      </c>
      <c r="D38" s="304">
        <v>5133</v>
      </c>
      <c r="E38" s="304">
        <v>4865</v>
      </c>
      <c r="F38" s="305">
        <v>4668</v>
      </c>
      <c r="G38" s="328">
        <v>4668</v>
      </c>
      <c r="H38" s="306">
        <v>9016</v>
      </c>
      <c r="I38" s="305">
        <v>6336</v>
      </c>
      <c r="J38" s="305">
        <v>5884</v>
      </c>
      <c r="K38" s="305">
        <v>6720</v>
      </c>
      <c r="L38" s="328">
        <v>6720</v>
      </c>
      <c r="M38" s="305">
        <v>6161</v>
      </c>
      <c r="N38" s="305">
        <v>4441</v>
      </c>
      <c r="O38" s="305">
        <v>5683</v>
      </c>
      <c r="P38" s="305">
        <v>6810</v>
      </c>
      <c r="Q38" s="328">
        <f>P38</f>
        <v>6810</v>
      </c>
      <c r="R38" s="305">
        <v>5467</v>
      </c>
      <c r="S38" s="305">
        <v>5071</v>
      </c>
      <c r="T38" s="305">
        <v>4953</v>
      </c>
      <c r="U38" s="305">
        <v>3363</v>
      </c>
      <c r="V38" s="328">
        <f>U38</f>
        <v>3363</v>
      </c>
      <c r="W38" s="305">
        <v>3653</v>
      </c>
      <c r="X38" s="305">
        <v>1175</v>
      </c>
      <c r="Y38" s="305">
        <v>568</v>
      </c>
      <c r="Z38" s="305">
        <v>761</v>
      </c>
      <c r="AA38" s="328">
        <f>Z38</f>
        <v>761</v>
      </c>
      <c r="AB38" s="305">
        <v>5154</v>
      </c>
      <c r="AC38" s="305">
        <v>4256</v>
      </c>
      <c r="AD38" s="305">
        <v>3651</v>
      </c>
      <c r="AE38" s="305">
        <v>5599</v>
      </c>
      <c r="AF38" s="328">
        <v>5599</v>
      </c>
      <c r="AG38" s="305">
        <v>5051</v>
      </c>
      <c r="AH38" s="305">
        <v>2417</v>
      </c>
      <c r="AI38" s="305">
        <v>1969</v>
      </c>
      <c r="AJ38" s="305">
        <v>2448</v>
      </c>
      <c r="AK38" s="328">
        <f>AJ38</f>
        <v>2448</v>
      </c>
      <c r="AL38" s="305">
        <v>4181</v>
      </c>
      <c r="AM38" s="577"/>
    </row>
    <row r="39" spans="2:39">
      <c r="B39" s="300" t="str">
        <f>names!$A1042</f>
        <v>Środki pieniężne netto z działalności operacyjnej</v>
      </c>
      <c r="C39" s="301">
        <v>-1332</v>
      </c>
      <c r="D39" s="301">
        <v>4289</v>
      </c>
      <c r="E39" s="301">
        <v>1095</v>
      </c>
      <c r="F39" s="302">
        <v>1488</v>
      </c>
      <c r="G39" s="327">
        <v>5540</v>
      </c>
      <c r="H39" s="302">
        <v>-3440</v>
      </c>
      <c r="I39" s="302">
        <v>4055</v>
      </c>
      <c r="J39" s="302">
        <v>2164</v>
      </c>
      <c r="K39" s="302">
        <v>408</v>
      </c>
      <c r="L39" s="327">
        <v>3187</v>
      </c>
      <c r="M39" s="302">
        <v>980</v>
      </c>
      <c r="N39" s="302">
        <v>2679</v>
      </c>
      <c r="O39" s="302">
        <v>132</v>
      </c>
      <c r="P39" s="302">
        <v>1563</v>
      </c>
      <c r="Q39" s="327">
        <f>SUM(M39:P39)</f>
        <v>5354</v>
      </c>
      <c r="R39" s="302">
        <v>2927</v>
      </c>
      <c r="S39" s="302">
        <v>1764</v>
      </c>
      <c r="T39" s="302">
        <v>2097</v>
      </c>
      <c r="U39" s="302">
        <v>2543</v>
      </c>
      <c r="V39" s="327">
        <f>SUM(R39:U39)</f>
        <v>9331</v>
      </c>
      <c r="W39" s="302">
        <v>673</v>
      </c>
      <c r="X39" s="302">
        <v>3493</v>
      </c>
      <c r="Y39" s="302">
        <v>3003</v>
      </c>
      <c r="Z39" s="302">
        <v>881</v>
      </c>
      <c r="AA39" s="327">
        <f>SUM(W39:Z39)</f>
        <v>8050</v>
      </c>
      <c r="AB39" s="302">
        <v>510</v>
      </c>
      <c r="AC39" s="302">
        <v>1879</v>
      </c>
      <c r="AD39" s="302">
        <v>3552</v>
      </c>
      <c r="AE39" s="302">
        <v>-771</v>
      </c>
      <c r="AF39" s="327">
        <v>4980</v>
      </c>
      <c r="AG39" s="302">
        <v>1191</v>
      </c>
      <c r="AH39" s="302">
        <v>3494</v>
      </c>
      <c r="AI39" s="302">
        <v>3431</v>
      </c>
      <c r="AJ39" s="302">
        <v>1203</v>
      </c>
      <c r="AK39" s="327">
        <f>SUM(AG39:AJ39)</f>
        <v>9319</v>
      </c>
      <c r="AL39" s="302">
        <v>530</v>
      </c>
      <c r="AM39" s="577"/>
    </row>
    <row r="40" spans="2:39">
      <c r="B40" s="300" t="str">
        <f>names!$A1043</f>
        <v>Środki pieniężne netto z działalności inwestycyjnej</v>
      </c>
      <c r="C40" s="301">
        <v>-128</v>
      </c>
      <c r="D40" s="301">
        <v>-636</v>
      </c>
      <c r="E40" s="301">
        <v>-416</v>
      </c>
      <c r="F40" s="302">
        <v>-1261</v>
      </c>
      <c r="G40" s="327">
        <v>-2441</v>
      </c>
      <c r="H40" s="302">
        <v>-816</v>
      </c>
      <c r="I40" s="302">
        <v>-1264</v>
      </c>
      <c r="J40" s="302">
        <v>-940</v>
      </c>
      <c r="K40" s="302">
        <v>-1000</v>
      </c>
      <c r="L40" s="327">
        <v>-4020</v>
      </c>
      <c r="M40" s="302">
        <v>-568</v>
      </c>
      <c r="N40" s="302">
        <v>-750</v>
      </c>
      <c r="O40" s="302">
        <v>-591</v>
      </c>
      <c r="P40" s="302">
        <v>-2187</v>
      </c>
      <c r="Q40" s="327">
        <f>SUM(M40:P40)</f>
        <v>-4096</v>
      </c>
      <c r="R40" s="302">
        <v>-1399</v>
      </c>
      <c r="S40" s="302">
        <v>-1056</v>
      </c>
      <c r="T40" s="302">
        <v>-1142</v>
      </c>
      <c r="U40" s="302">
        <v>-839</v>
      </c>
      <c r="V40" s="327">
        <f>SUM(R40:U40)</f>
        <v>-4436</v>
      </c>
      <c r="W40" s="302">
        <v>-907</v>
      </c>
      <c r="X40" s="302">
        <v>-940</v>
      </c>
      <c r="Y40" s="302">
        <v>-939</v>
      </c>
      <c r="Z40" s="302">
        <v>-1139</v>
      </c>
      <c r="AA40" s="327">
        <f>SUM(W40:Z40)</f>
        <v>-3925</v>
      </c>
      <c r="AB40" s="302">
        <v>-1265</v>
      </c>
      <c r="AC40" s="302">
        <v>-647</v>
      </c>
      <c r="AD40" s="302">
        <v>-1009</v>
      </c>
      <c r="AE40" s="302">
        <v>-1067</v>
      </c>
      <c r="AF40" s="327">
        <v>-3798</v>
      </c>
      <c r="AG40" s="302">
        <v>-666</v>
      </c>
      <c r="AH40" s="302">
        <v>-675</v>
      </c>
      <c r="AI40" s="302">
        <v>-1032</v>
      </c>
      <c r="AJ40" s="302">
        <v>-1621</v>
      </c>
      <c r="AK40" s="327">
        <f>SUM(AG40:AJ40)</f>
        <v>-3994</v>
      </c>
      <c r="AL40" s="302">
        <v>-1527</v>
      </c>
      <c r="AM40" s="577"/>
    </row>
    <row r="41" spans="2:39" ht="13.5" thickBot="1">
      <c r="B41" s="300" t="str">
        <f>names!$A1044</f>
        <v>Zwiększenie aktywów trwałych ****</v>
      </c>
      <c r="C41" s="301">
        <v>304</v>
      </c>
      <c r="D41" s="301">
        <v>535</v>
      </c>
      <c r="E41" s="301">
        <v>644</v>
      </c>
      <c r="F41" s="302">
        <f>1007-6</f>
        <v>1001</v>
      </c>
      <c r="G41" s="327">
        <f>2490-6</f>
        <v>2484</v>
      </c>
      <c r="H41" s="302">
        <v>684</v>
      </c>
      <c r="I41" s="302">
        <v>1352</v>
      </c>
      <c r="J41" s="302">
        <v>880</v>
      </c>
      <c r="K41" s="302">
        <v>872</v>
      </c>
      <c r="L41" s="327">
        <v>3788</v>
      </c>
      <c r="M41" s="302">
        <v>583</v>
      </c>
      <c r="N41" s="302">
        <v>582</v>
      </c>
      <c r="O41" s="302">
        <v>722</v>
      </c>
      <c r="P41" s="302">
        <v>1296</v>
      </c>
      <c r="Q41" s="327">
        <f>SUM(M41:P41)</f>
        <v>3183</v>
      </c>
      <c r="R41" s="302">
        <v>1002</v>
      </c>
      <c r="S41" s="302">
        <v>1248</v>
      </c>
      <c r="T41" s="302">
        <v>1207</v>
      </c>
      <c r="U41" s="302">
        <v>1216</v>
      </c>
      <c r="V41" s="327">
        <f>SUM(R41:U41)</f>
        <v>4673</v>
      </c>
      <c r="W41" s="302">
        <v>723</v>
      </c>
      <c r="X41" s="302">
        <v>1198</v>
      </c>
      <c r="Y41" s="302">
        <v>977</v>
      </c>
      <c r="Z41" s="302">
        <v>1704</v>
      </c>
      <c r="AA41" s="327">
        <f>SUM(W41:Z41)</f>
        <v>4602</v>
      </c>
      <c r="AB41" s="302">
        <v>802</v>
      </c>
      <c r="AC41" s="302">
        <v>1070</v>
      </c>
      <c r="AD41" s="302">
        <v>1027</v>
      </c>
      <c r="AE41" s="302">
        <v>1571</v>
      </c>
      <c r="AF41" s="327">
        <v>4280</v>
      </c>
      <c r="AG41" s="302">
        <v>749</v>
      </c>
      <c r="AH41" s="302">
        <v>994</v>
      </c>
      <c r="AI41" s="302">
        <v>1319</v>
      </c>
      <c r="AJ41" s="302">
        <v>2395</v>
      </c>
      <c r="AK41" s="327">
        <f>SUM(AG41:AJ41)</f>
        <v>5457</v>
      </c>
      <c r="AL41" s="302">
        <v>1244</v>
      </c>
      <c r="AM41" s="577"/>
    </row>
    <row r="42" spans="2:39">
      <c r="B42" s="297" t="str">
        <f>names!$A1045</f>
        <v>Zwrot z zaangażowanego kapitału (ROACE) [%] 2)</v>
      </c>
      <c r="C42" s="307">
        <v>3.2</v>
      </c>
      <c r="D42" s="307">
        <v>2.1</v>
      </c>
      <c r="E42" s="307">
        <v>0.1</v>
      </c>
      <c r="F42" s="307">
        <v>0.7</v>
      </c>
      <c r="G42" s="329">
        <v>0.7</v>
      </c>
      <c r="H42" s="443">
        <v>0.5</v>
      </c>
      <c r="I42" s="307">
        <v>1.4</v>
      </c>
      <c r="J42" s="307">
        <v>2.5</v>
      </c>
      <c r="K42" s="307">
        <v>1.7</v>
      </c>
      <c r="L42" s="329">
        <v>1.7</v>
      </c>
      <c r="M42" s="307">
        <v>4.4000000000000004</v>
      </c>
      <c r="N42" s="307">
        <v>11.8</v>
      </c>
      <c r="O42" s="307">
        <v>12.4</v>
      </c>
      <c r="P42" s="307">
        <v>15.2</v>
      </c>
      <c r="Q42" s="329">
        <v>15.2</v>
      </c>
      <c r="R42" s="307">
        <v>12.8</v>
      </c>
      <c r="S42" s="307">
        <v>12.3</v>
      </c>
      <c r="T42" s="307">
        <v>13.2</v>
      </c>
      <c r="U42" s="307">
        <v>19.100000000000001</v>
      </c>
      <c r="V42" s="329">
        <f>U42</f>
        <v>19.100000000000001</v>
      </c>
      <c r="W42" s="307">
        <v>23.2</v>
      </c>
      <c r="X42" s="307">
        <v>21.8</v>
      </c>
      <c r="Y42" s="307">
        <v>22.7</v>
      </c>
      <c r="Z42" s="307">
        <v>20.9</v>
      </c>
      <c r="AA42" s="329">
        <f>Z42</f>
        <v>20.9</v>
      </c>
      <c r="AB42" s="307">
        <v>18.3</v>
      </c>
      <c r="AC42" s="307">
        <v>18.600000000000001</v>
      </c>
      <c r="AD42" s="307">
        <v>18</v>
      </c>
      <c r="AE42" s="307">
        <v>14.1</v>
      </c>
      <c r="AF42" s="329">
        <v>13.7</v>
      </c>
      <c r="AG42" s="307">
        <v>12.7</v>
      </c>
      <c r="AH42" s="307">
        <v>12.3</v>
      </c>
      <c r="AI42" s="307">
        <v>11.2</v>
      </c>
      <c r="AJ42" s="307">
        <v>11.1</v>
      </c>
      <c r="AK42" s="329">
        <f>AJ42</f>
        <v>11.1</v>
      </c>
      <c r="AL42" s="307">
        <v>6.3</v>
      </c>
      <c r="AM42" s="577"/>
    </row>
    <row r="43" spans="2:39">
      <c r="B43" s="308" t="str">
        <f>names!$A1046</f>
        <v>Zwrot z zaangażowanego kapitału wg LIFO (ROACE LIFO) [%] 3)</v>
      </c>
      <c r="C43" s="309">
        <v>5.4</v>
      </c>
      <c r="D43" s="309">
        <v>3.4</v>
      </c>
      <c r="E43" s="309">
        <v>1.6</v>
      </c>
      <c r="F43" s="309">
        <v>2.2999999999999998</v>
      </c>
      <c r="G43" s="330">
        <v>2.2999999999999998</v>
      </c>
      <c r="H43" s="444">
        <v>2.4</v>
      </c>
      <c r="I43" s="309">
        <v>2.6</v>
      </c>
      <c r="J43" s="309">
        <v>6.4</v>
      </c>
      <c r="K43" s="309">
        <v>8.5</v>
      </c>
      <c r="L43" s="330">
        <v>8.5</v>
      </c>
      <c r="M43" s="309">
        <v>11.6</v>
      </c>
      <c r="N43" s="309">
        <v>18.5</v>
      </c>
      <c r="O43" s="309">
        <v>18.100000000000001</v>
      </c>
      <c r="P43" s="309">
        <v>19.5</v>
      </c>
      <c r="Q43" s="330">
        <v>19.5</v>
      </c>
      <c r="R43" s="309">
        <v>19</v>
      </c>
      <c r="S43" s="309">
        <v>17.600000000000001</v>
      </c>
      <c r="T43" s="309">
        <v>17.3</v>
      </c>
      <c r="U43" s="309">
        <v>18.899999999999999</v>
      </c>
      <c r="V43" s="330">
        <f>U43</f>
        <v>18.899999999999999</v>
      </c>
      <c r="W43" s="309">
        <v>19.3</v>
      </c>
      <c r="X43" s="309">
        <v>19.899999999999999</v>
      </c>
      <c r="Y43" s="309">
        <v>21.2</v>
      </c>
      <c r="Z43" s="309">
        <v>19</v>
      </c>
      <c r="AA43" s="330">
        <f>Z43</f>
        <v>19</v>
      </c>
      <c r="AB43" s="309">
        <v>17.3</v>
      </c>
      <c r="AC43" s="309">
        <v>14.7</v>
      </c>
      <c r="AD43" s="309">
        <v>12.7</v>
      </c>
      <c r="AE43" s="309">
        <v>12.3</v>
      </c>
      <c r="AF43" s="330">
        <v>11.9</v>
      </c>
      <c r="AG43" s="309">
        <v>11.6</v>
      </c>
      <c r="AH43" s="309">
        <v>12.6</v>
      </c>
      <c r="AI43" s="309">
        <v>13.6</v>
      </c>
      <c r="AJ43" s="309">
        <v>11.3</v>
      </c>
      <c r="AK43" s="330">
        <f>AJ43</f>
        <v>11.3</v>
      </c>
      <c r="AL43" s="309">
        <v>10.3</v>
      </c>
      <c r="AM43" s="577"/>
    </row>
    <row r="44" spans="2:39">
      <c r="B44" s="310" t="str">
        <f>names!$A1047</f>
        <v>Dźwignia finansowa netto [%] 4)</v>
      </c>
      <c r="C44" s="311">
        <v>26.8</v>
      </c>
      <c r="D44" s="311">
        <v>18.5</v>
      </c>
      <c r="E44" s="311">
        <v>17.2</v>
      </c>
      <c r="F44" s="311">
        <v>16.899999999999999</v>
      </c>
      <c r="G44" s="331">
        <v>16.899999999999999</v>
      </c>
      <c r="H44" s="445">
        <v>32.700000000000003</v>
      </c>
      <c r="I44" s="311">
        <v>28.5</v>
      </c>
      <c r="J44" s="311">
        <v>25.9</v>
      </c>
      <c r="K44" s="311">
        <v>33</v>
      </c>
      <c r="L44" s="331">
        <v>33</v>
      </c>
      <c r="M44" s="311">
        <v>28.9</v>
      </c>
      <c r="N44" s="311">
        <v>19.8</v>
      </c>
      <c r="O44" s="311">
        <v>23.6</v>
      </c>
      <c r="P44" s="311">
        <v>28.1</v>
      </c>
      <c r="Q44" s="331">
        <v>28.1</v>
      </c>
      <c r="R44" s="311">
        <v>22.4</v>
      </c>
      <c r="S44" s="311">
        <v>19.8</v>
      </c>
      <c r="T44" s="311">
        <v>18.3</v>
      </c>
      <c r="U44" s="311">
        <v>11.5</v>
      </c>
      <c r="V44" s="331">
        <f>U44</f>
        <v>11.5</v>
      </c>
      <c r="W44" s="311">
        <v>11.6</v>
      </c>
      <c r="X44" s="311">
        <v>3.7</v>
      </c>
      <c r="Y44" s="311">
        <v>1.7</v>
      </c>
      <c r="Z44" s="311">
        <v>2.2000000000000002</v>
      </c>
      <c r="AA44" s="331">
        <f>Z44</f>
        <v>2.2000000000000002</v>
      </c>
      <c r="AB44" s="311">
        <v>15.7</v>
      </c>
      <c r="AC44" s="311">
        <v>12.7</v>
      </c>
      <c r="AD44" s="311">
        <v>10.3</v>
      </c>
      <c r="AE44" s="311">
        <v>15.7</v>
      </c>
      <c r="AF44" s="331">
        <v>15.7</v>
      </c>
      <c r="AG44" s="311">
        <v>13.9</v>
      </c>
      <c r="AH44" s="311">
        <v>6.6</v>
      </c>
      <c r="AI44" s="311">
        <v>5.2</v>
      </c>
      <c r="AJ44" s="311">
        <v>6.3</v>
      </c>
      <c r="AK44" s="331">
        <f>AJ44</f>
        <v>6.3</v>
      </c>
      <c r="AL44" s="311">
        <v>11.5</v>
      </c>
      <c r="AM44" s="577"/>
    </row>
    <row r="45" spans="2:39" ht="25.5">
      <c r="B45" s="300" t="str">
        <f>names!$A1048</f>
        <v>Dług netto/Wynik z działalności operacyjnej wg LIFO powiększony o amortyzację z ostatnich czterech kwartałów  (EBITDA LIFO) 6)</v>
      </c>
      <c r="C45" s="450" t="s">
        <v>232</v>
      </c>
      <c r="D45" s="448">
        <v>1.1599999999999999</v>
      </c>
      <c r="E45" s="450" t="s">
        <v>232</v>
      </c>
      <c r="F45" s="448">
        <v>1.51</v>
      </c>
      <c r="G45" s="332">
        <v>1.51</v>
      </c>
      <c r="H45" s="450" t="s">
        <v>232</v>
      </c>
      <c r="I45" s="448">
        <v>1.76</v>
      </c>
      <c r="J45" s="450" t="s">
        <v>232</v>
      </c>
      <c r="K45" s="448">
        <v>1.29</v>
      </c>
      <c r="L45" s="332">
        <v>1.29</v>
      </c>
      <c r="M45" s="450" t="s">
        <v>232</v>
      </c>
      <c r="N45" s="448">
        <v>0.53</v>
      </c>
      <c r="O45" s="450" t="s">
        <v>232</v>
      </c>
      <c r="P45" s="448">
        <v>0.73</v>
      </c>
      <c r="Q45" s="332">
        <v>0.73</v>
      </c>
      <c r="R45" s="450" t="s">
        <v>232</v>
      </c>
      <c r="S45" s="448">
        <v>0.59</v>
      </c>
      <c r="T45" s="450" t="s">
        <v>232</v>
      </c>
      <c r="U45" s="448">
        <v>0.35</v>
      </c>
      <c r="V45" s="332">
        <f>U45</f>
        <v>0.35</v>
      </c>
      <c r="W45" s="450" t="s">
        <v>232</v>
      </c>
      <c r="X45" s="448">
        <v>0.11</v>
      </c>
      <c r="Y45" s="450" t="s">
        <v>232</v>
      </c>
      <c r="Z45" s="448">
        <v>7.0000000000000007E-2</v>
      </c>
      <c r="AA45" s="332">
        <f>Z45</f>
        <v>7.0000000000000007E-2</v>
      </c>
      <c r="AB45" s="450" t="s">
        <v>232</v>
      </c>
      <c r="AC45" s="448">
        <v>0.46</v>
      </c>
      <c r="AD45" s="450" t="s">
        <v>232</v>
      </c>
      <c r="AE45" s="448">
        <v>0.67</v>
      </c>
      <c r="AF45" s="332">
        <v>0.67</v>
      </c>
      <c r="AG45" s="450" t="s">
        <v>232</v>
      </c>
      <c r="AH45" s="448">
        <v>0.28000000000000003</v>
      </c>
      <c r="AI45" s="450" t="s">
        <v>232</v>
      </c>
      <c r="AJ45" s="448">
        <v>0.28000000000000003</v>
      </c>
      <c r="AK45" s="332">
        <f>AJ45</f>
        <v>0.28000000000000003</v>
      </c>
      <c r="AL45" s="450" t="s">
        <v>232</v>
      </c>
      <c r="AM45" s="577"/>
    </row>
    <row r="46" spans="2:39" ht="25.5">
      <c r="B46" s="308" t="str">
        <f>names!$A1049</f>
        <v>Dług netto/Wynik z działalności operacyjnej powiększony o amortyzację z ostatnich czterech kwartałów  (EBITDA) 7)</v>
      </c>
      <c r="C46" s="450" t="s">
        <v>232</v>
      </c>
      <c r="D46" s="449">
        <v>1.32</v>
      </c>
      <c r="E46" s="450" t="s">
        <v>232</v>
      </c>
      <c r="F46" s="449">
        <v>1.93</v>
      </c>
      <c r="G46" s="333">
        <v>1.93</v>
      </c>
      <c r="H46" s="450" t="s">
        <v>232</v>
      </c>
      <c r="I46" s="449">
        <v>2.06</v>
      </c>
      <c r="J46" s="450" t="s">
        <v>232</v>
      </c>
      <c r="K46" s="449">
        <v>2.5499999999999998</v>
      </c>
      <c r="L46" s="333">
        <v>2.5499999999999998</v>
      </c>
      <c r="M46" s="450" t="s">
        <v>232</v>
      </c>
      <c r="N46" s="448">
        <v>0.74</v>
      </c>
      <c r="O46" s="450" t="s">
        <v>232</v>
      </c>
      <c r="P46" s="449">
        <v>0.88</v>
      </c>
      <c r="Q46" s="333">
        <v>0.88</v>
      </c>
      <c r="R46" s="450" t="s">
        <v>232</v>
      </c>
      <c r="S46" s="448">
        <v>0.77</v>
      </c>
      <c r="T46" s="450" t="s">
        <v>232</v>
      </c>
      <c r="U46" s="449">
        <v>0.35</v>
      </c>
      <c r="V46" s="333">
        <f>U46</f>
        <v>0.35</v>
      </c>
      <c r="W46" s="450" t="s">
        <v>232</v>
      </c>
      <c r="X46" s="448">
        <v>0.11</v>
      </c>
      <c r="Y46" s="450" t="s">
        <v>232</v>
      </c>
      <c r="Z46" s="449">
        <v>7.0000000000000007E-2</v>
      </c>
      <c r="AA46" s="333">
        <f>Z46</f>
        <v>7.0000000000000007E-2</v>
      </c>
      <c r="AB46" s="450" t="s">
        <v>232</v>
      </c>
      <c r="AC46" s="448">
        <v>0.39</v>
      </c>
      <c r="AD46" s="450" t="s">
        <v>232</v>
      </c>
      <c r="AE46" s="449">
        <v>0.6</v>
      </c>
      <c r="AF46" s="333">
        <v>0.6</v>
      </c>
      <c r="AG46" s="450" t="s">
        <v>232</v>
      </c>
      <c r="AH46" s="448">
        <v>0.27</v>
      </c>
      <c r="AI46" s="450" t="s">
        <v>232</v>
      </c>
      <c r="AJ46" s="449">
        <v>0.27</v>
      </c>
      <c r="AK46" s="333">
        <f>AJ46</f>
        <v>0.27</v>
      </c>
      <c r="AL46" s="450" t="s">
        <v>232</v>
      </c>
      <c r="AM46" s="577"/>
    </row>
    <row r="47" spans="2:39" ht="13.5" thickBot="1">
      <c r="B47" s="312" t="str">
        <f>names!$A1050</f>
        <v>Zysk/(Strata) netto akcjonariuszy Jednostki Dominującej na jedną akcję (EPS) [PLN/akcję]</v>
      </c>
      <c r="C47" s="446">
        <v>0.35</v>
      </c>
      <c r="D47" s="446">
        <v>-0.48</v>
      </c>
      <c r="E47" s="446">
        <v>1.54</v>
      </c>
      <c r="F47" s="446">
        <v>-0.99</v>
      </c>
      <c r="G47" s="334">
        <v>0.41</v>
      </c>
      <c r="H47" s="447">
        <v>0.15</v>
      </c>
      <c r="I47" s="446">
        <v>-12.15</v>
      </c>
      <c r="J47" s="446">
        <v>1.2599999999999998</v>
      </c>
      <c r="K47" s="446">
        <v>-2.85</v>
      </c>
      <c r="L47" s="334">
        <v>-13.59</v>
      </c>
      <c r="M47" s="446">
        <v>1.77</v>
      </c>
      <c r="N47" s="446">
        <v>3.19</v>
      </c>
      <c r="O47" s="446">
        <v>1.86</v>
      </c>
      <c r="P47" s="446">
        <v>-0.19</v>
      </c>
      <c r="Q47" s="334">
        <v>6.63</v>
      </c>
      <c r="R47" s="446">
        <v>0.79</v>
      </c>
      <c r="S47" s="446">
        <v>3.76</v>
      </c>
      <c r="T47" s="446">
        <v>3.57</v>
      </c>
      <c r="U47" s="313">
        <v>4.18</v>
      </c>
      <c r="V47" s="334">
        <v>12.3</v>
      </c>
      <c r="W47" s="446">
        <v>4.49</v>
      </c>
      <c r="X47" s="446">
        <v>3.6</v>
      </c>
      <c r="Y47" s="446">
        <v>3.75</v>
      </c>
      <c r="Z47" s="313">
        <v>3.72</v>
      </c>
      <c r="AA47" s="334">
        <v>15.56</v>
      </c>
      <c r="AB47" s="446">
        <v>2.44</v>
      </c>
      <c r="AC47" s="446">
        <v>4.07</v>
      </c>
      <c r="AD47" s="446">
        <v>4.83</v>
      </c>
      <c r="AE47" s="313">
        <v>2.1</v>
      </c>
      <c r="AF47" s="334">
        <v>12.99</v>
      </c>
      <c r="AG47" s="446">
        <v>1.98</v>
      </c>
      <c r="AH47" s="446">
        <v>3.75</v>
      </c>
      <c r="AI47" s="446">
        <v>2.96</v>
      </c>
      <c r="AJ47" s="313">
        <v>1.36</v>
      </c>
      <c r="AK47" s="334">
        <v>10.050000000000001</v>
      </c>
      <c r="AL47" s="446">
        <v>-5.25</v>
      </c>
      <c r="AM47" s="577"/>
    </row>
    <row r="48" spans="2:39">
      <c r="C48" s="269"/>
      <c r="D48" s="269"/>
      <c r="E48" s="269"/>
      <c r="F48" s="269"/>
      <c r="G48" s="269"/>
      <c r="H48" s="269"/>
      <c r="I48" s="269"/>
      <c r="J48" s="269"/>
      <c r="K48" s="269"/>
      <c r="L48" s="269"/>
      <c r="M48" s="269"/>
      <c r="N48" s="269"/>
      <c r="O48" s="269"/>
      <c r="P48" s="269"/>
      <c r="Q48" s="269"/>
      <c r="R48" s="269"/>
      <c r="S48" s="269"/>
      <c r="T48" s="269"/>
      <c r="W48" s="269"/>
      <c r="X48" s="269"/>
      <c r="Y48" s="269"/>
      <c r="AB48" s="269"/>
      <c r="AC48" s="269"/>
      <c r="AD48" s="269"/>
      <c r="AG48" s="269"/>
      <c r="AH48" s="269"/>
      <c r="AI48" s="269"/>
      <c r="AL48" s="269"/>
      <c r="AM48" s="577"/>
    </row>
    <row r="49" spans="2:39" ht="140.25">
      <c r="B49" s="270" t="str">
        <f>names!$A1052</f>
        <v>Wpływ wyceny zapasów wg LIFO
 [mln PLN]</v>
      </c>
      <c r="C49" s="440" t="str">
        <f t="shared" ref="C49:K49" si="5">C4</f>
        <v>I kw.
2013 *</v>
      </c>
      <c r="D49" s="440" t="str">
        <f t="shared" si="5"/>
        <v>II kw.
2013 *</v>
      </c>
      <c r="E49" s="440" t="str">
        <f t="shared" si="5"/>
        <v>III kw.
2013 *</v>
      </c>
      <c r="F49" s="440" t="str">
        <f t="shared" si="5"/>
        <v>IV kw.
2013 *</v>
      </c>
      <c r="G49" s="440" t="str">
        <f t="shared" si="5"/>
        <v>12 m-cy
2013 *</v>
      </c>
      <c r="H49" s="441" t="str">
        <f t="shared" si="5"/>
        <v>I kw.
2014</v>
      </c>
      <c r="I49" s="440" t="str">
        <f t="shared" si="5"/>
        <v>II kw.
2014</v>
      </c>
      <c r="J49" s="440" t="str">
        <f t="shared" si="5"/>
        <v>III kw.
2014</v>
      </c>
      <c r="K49" s="440" t="str">
        <f t="shared" si="5"/>
        <v>IV kw.
2014</v>
      </c>
      <c r="L49" s="440" t="str">
        <f>L4</f>
        <v>12 m-cy
2014</v>
      </c>
      <c r="M49" s="440" t="str">
        <f t="shared" ref="M49:AL49" si="6">M4</f>
        <v>I kw.
2015</v>
      </c>
      <c r="N49" s="440" t="str">
        <f t="shared" si="6"/>
        <v>II kw.
2015</v>
      </c>
      <c r="O49" s="440" t="str">
        <f t="shared" si="6"/>
        <v>III kw.
2015</v>
      </c>
      <c r="P49" s="440" t="str">
        <f t="shared" si="6"/>
        <v>IV kw.
2015</v>
      </c>
      <c r="Q49" s="440" t="str">
        <f t="shared" si="6"/>
        <v>12 m-cy
2015</v>
      </c>
      <c r="R49" s="440" t="str">
        <f t="shared" si="6"/>
        <v>I kw.
2016</v>
      </c>
      <c r="S49" s="440" t="str">
        <f t="shared" si="6"/>
        <v>II kw.
2016</v>
      </c>
      <c r="T49" s="440" t="str">
        <f t="shared" si="6"/>
        <v>III kw.
2016</v>
      </c>
      <c r="U49" s="440" t="str">
        <f t="shared" si="6"/>
        <v>IV kw.
2016</v>
      </c>
      <c r="V49" s="440" t="str">
        <f t="shared" si="6"/>
        <v>12 m-cy
2016</v>
      </c>
      <c r="W49" s="440" t="str">
        <f t="shared" si="6"/>
        <v>I kw.
2017</v>
      </c>
      <c r="X49" s="440" t="str">
        <f t="shared" si="6"/>
        <v>II kw.
2017</v>
      </c>
      <c r="Y49" s="440" t="str">
        <f t="shared" si="6"/>
        <v>III kw.
2017</v>
      </c>
      <c r="Z49" s="440" t="str">
        <f t="shared" si="6"/>
        <v>IV kw.
2017</v>
      </c>
      <c r="AA49" s="440" t="str">
        <f t="shared" si="6"/>
        <v>12 m-cy
2017</v>
      </c>
      <c r="AB49" s="440" t="str">
        <f t="shared" si="6"/>
        <v>I kw.
2018</v>
      </c>
      <c r="AC49" s="440" t="str">
        <f t="shared" si="6"/>
        <v>II kw.
2018</v>
      </c>
      <c r="AD49" s="440" t="str">
        <f t="shared" si="6"/>
        <v>III kw.
2018</v>
      </c>
      <c r="AE49" s="440" t="str">
        <f t="shared" si="6"/>
        <v>IV kw.
2018 ***</v>
      </c>
      <c r="AF49" s="440" t="str">
        <f t="shared" si="6"/>
        <v>12 m-cy
2018 ***</v>
      </c>
      <c r="AG49" s="440" t="str">
        <f t="shared" si="6"/>
        <v>I kw.
2019</v>
      </c>
      <c r="AH49" s="440" t="str">
        <f t="shared" si="6"/>
        <v>II kw.
2019</v>
      </c>
      <c r="AI49" s="440" t="str">
        <f t="shared" si="6"/>
        <v>III kw.
2019</v>
      </c>
      <c r="AJ49" s="440" t="str">
        <f t="shared" si="6"/>
        <v>IV kw.
2019</v>
      </c>
      <c r="AK49" s="440" t="str">
        <f t="shared" si="6"/>
        <v>12 m-cy
2019</v>
      </c>
      <c r="AL49" s="440" t="str">
        <f t="shared" si="6"/>
        <v>I kw. 
2020</v>
      </c>
      <c r="AM49" s="577"/>
    </row>
    <row r="50" spans="2:39">
      <c r="B50" s="308" t="str">
        <f>names!$A1053</f>
        <v>Wpływ wyceny zapasów wg LIFO na poziom EBITDA, w tym:</v>
      </c>
      <c r="C50" s="314">
        <v>-53</v>
      </c>
      <c r="D50" s="315">
        <v>-439</v>
      </c>
      <c r="E50" s="315">
        <v>362</v>
      </c>
      <c r="F50" s="315">
        <v>-538</v>
      </c>
      <c r="G50" s="335">
        <v>-668</v>
      </c>
      <c r="H50" s="439">
        <v>-177</v>
      </c>
      <c r="I50" s="315">
        <v>-147</v>
      </c>
      <c r="J50" s="438">
        <v>-656</v>
      </c>
      <c r="K50" s="438">
        <v>-1593</v>
      </c>
      <c r="L50" s="335">
        <v>-2573</v>
      </c>
      <c r="M50" s="438">
        <v>-237</v>
      </c>
      <c r="N50" s="438">
        <v>169</v>
      </c>
      <c r="O50" s="438">
        <v>-334</v>
      </c>
      <c r="P50" s="438">
        <v>-1108</v>
      </c>
      <c r="Q50" s="335">
        <f>SUM(M50:P50)</f>
        <v>-1510</v>
      </c>
      <c r="R50" s="438">
        <v>-937</v>
      </c>
      <c r="S50" s="438">
        <v>409</v>
      </c>
      <c r="T50" s="438">
        <v>87</v>
      </c>
      <c r="U50" s="316">
        <v>526</v>
      </c>
      <c r="V50" s="335">
        <f>SUM(R50:U50)</f>
        <v>85</v>
      </c>
      <c r="W50" s="438">
        <v>519</v>
      </c>
      <c r="X50" s="438">
        <v>-344</v>
      </c>
      <c r="Y50" s="438">
        <v>-107</v>
      </c>
      <c r="Z50" s="316">
        <v>731</v>
      </c>
      <c r="AA50" s="335">
        <f>SUM(W50:Z50)</f>
        <v>799</v>
      </c>
      <c r="AB50" s="438">
        <v>144</v>
      </c>
      <c r="AC50" s="438">
        <v>936</v>
      </c>
      <c r="AD50" s="438">
        <v>579</v>
      </c>
      <c r="AE50" s="316">
        <v>-799</v>
      </c>
      <c r="AF50" s="335">
        <v>860</v>
      </c>
      <c r="AG50" s="438">
        <v>-175</v>
      </c>
      <c r="AH50" s="438">
        <v>217</v>
      </c>
      <c r="AI50" s="438">
        <v>-394</v>
      </c>
      <c r="AJ50" s="316">
        <v>221</v>
      </c>
      <c r="AK50" s="335">
        <f>SUM(AG50:AJ50)</f>
        <v>-131</v>
      </c>
      <c r="AL50" s="438">
        <v>-2072</v>
      </c>
      <c r="AM50" s="577"/>
    </row>
    <row r="51" spans="2:39">
      <c r="B51" s="285" t="str">
        <f>names!$A1054</f>
        <v>ORLEN S.A.</v>
      </c>
      <c r="C51" s="286">
        <v>-57</v>
      </c>
      <c r="D51" s="287">
        <v>-261</v>
      </c>
      <c r="E51" s="287">
        <v>230</v>
      </c>
      <c r="F51" s="287">
        <v>-507</v>
      </c>
      <c r="G51" s="336">
        <v>-595</v>
      </c>
      <c r="H51" s="286">
        <v>-129</v>
      </c>
      <c r="I51" s="287">
        <v>-195</v>
      </c>
      <c r="J51" s="287">
        <v>-520</v>
      </c>
      <c r="K51" s="287">
        <v>-1428</v>
      </c>
      <c r="L51" s="336">
        <v>-2272</v>
      </c>
      <c r="M51" s="286">
        <v>-153</v>
      </c>
      <c r="N51" s="286">
        <v>94</v>
      </c>
      <c r="O51" s="286">
        <v>-336</v>
      </c>
      <c r="P51" s="286">
        <v>-1112</v>
      </c>
      <c r="Q51" s="336">
        <f>SUM(M51:P51)</f>
        <v>-1507</v>
      </c>
      <c r="R51" s="286">
        <v>-876</v>
      </c>
      <c r="S51" s="286">
        <v>397</v>
      </c>
      <c r="T51" s="286">
        <v>239</v>
      </c>
      <c r="U51" s="317">
        <v>405</v>
      </c>
      <c r="V51" s="336">
        <f>SUM(R51:U51)</f>
        <v>165</v>
      </c>
      <c r="W51" s="286">
        <v>413</v>
      </c>
      <c r="X51" s="286">
        <v>-249</v>
      </c>
      <c r="Y51" s="286">
        <v>-34</v>
      </c>
      <c r="Z51" s="317">
        <v>571</v>
      </c>
      <c r="AA51" s="336">
        <f>SUM(W51:Z51)</f>
        <v>701</v>
      </c>
      <c r="AB51" s="286">
        <v>155</v>
      </c>
      <c r="AC51" s="286">
        <v>716</v>
      </c>
      <c r="AD51" s="286">
        <v>552</v>
      </c>
      <c r="AE51" s="317">
        <v>-434</v>
      </c>
      <c r="AF51" s="336">
        <v>989</v>
      </c>
      <c r="AG51" s="286">
        <v>-134</v>
      </c>
      <c r="AH51" s="286">
        <v>165</v>
      </c>
      <c r="AI51" s="286">
        <v>-331</v>
      </c>
      <c r="AJ51" s="317">
        <v>154</v>
      </c>
      <c r="AK51" s="336">
        <f>SUM(AG51:AJ51)</f>
        <v>-146</v>
      </c>
      <c r="AL51" s="286">
        <v>-1937</v>
      </c>
      <c r="AM51" s="577"/>
    </row>
    <row r="52" spans="2:39">
      <c r="B52" s="285" t="str">
        <f>names!$A1055</f>
        <v>Grupa Unipetrol</v>
      </c>
      <c r="C52" s="286">
        <v>17</v>
      </c>
      <c r="D52" s="287">
        <v>-107</v>
      </c>
      <c r="E52" s="287">
        <v>83</v>
      </c>
      <c r="F52" s="287">
        <v>-3</v>
      </c>
      <c r="G52" s="336">
        <v>-10</v>
      </c>
      <c r="H52" s="287">
        <v>-20</v>
      </c>
      <c r="I52" s="287">
        <v>21</v>
      </c>
      <c r="J52" s="287">
        <v>-48</v>
      </c>
      <c r="K52" s="287">
        <v>-231</v>
      </c>
      <c r="L52" s="336">
        <v>-278</v>
      </c>
      <c r="M52" s="287">
        <v>-32</v>
      </c>
      <c r="N52" s="287">
        <v>91</v>
      </c>
      <c r="O52" s="287">
        <v>-82</v>
      </c>
      <c r="P52" s="287">
        <v>-15</v>
      </c>
      <c r="Q52" s="336">
        <f>SUM(M52:P52)</f>
        <v>-38</v>
      </c>
      <c r="R52" s="287">
        <v>34</v>
      </c>
      <c r="S52" s="287">
        <v>-51</v>
      </c>
      <c r="T52" s="287">
        <v>-85</v>
      </c>
      <c r="U52" s="318">
        <v>89</v>
      </c>
      <c r="V52" s="336">
        <f>SUM(R52:U52)</f>
        <v>-13</v>
      </c>
      <c r="W52" s="287">
        <v>58</v>
      </c>
      <c r="X52" s="287">
        <v>-78</v>
      </c>
      <c r="Y52" s="287">
        <v>-77</v>
      </c>
      <c r="Z52" s="318">
        <v>123</v>
      </c>
      <c r="AA52" s="336">
        <f>SUM(W52:Z52)</f>
        <v>26</v>
      </c>
      <c r="AB52" s="287">
        <v>-21</v>
      </c>
      <c r="AC52" s="287">
        <v>171</v>
      </c>
      <c r="AD52" s="287">
        <v>67</v>
      </c>
      <c r="AE52" s="318">
        <v>-333</v>
      </c>
      <c r="AF52" s="336">
        <v>-116</v>
      </c>
      <c r="AG52" s="287">
        <v>15</v>
      </c>
      <c r="AH52" s="287">
        <v>-21</v>
      </c>
      <c r="AI52" s="287">
        <v>-44</v>
      </c>
      <c r="AJ52" s="318">
        <v>52</v>
      </c>
      <c r="AK52" s="336">
        <f>SUM(AG52:AJ52)</f>
        <v>2</v>
      </c>
      <c r="AL52" s="287">
        <v>-158</v>
      </c>
      <c r="AM52" s="577"/>
    </row>
    <row r="53" spans="2:39">
      <c r="B53" s="285" t="str">
        <f>names!$A1056</f>
        <v>Grupa ORLEN Lietuva</v>
      </c>
      <c r="C53" s="286">
        <v>-18</v>
      </c>
      <c r="D53" s="287">
        <v>-52</v>
      </c>
      <c r="E53" s="287">
        <v>55</v>
      </c>
      <c r="F53" s="287">
        <v>-29</v>
      </c>
      <c r="G53" s="336">
        <v>-44</v>
      </c>
      <c r="H53" s="287">
        <v>-25</v>
      </c>
      <c r="I53" s="287">
        <v>25</v>
      </c>
      <c r="J53" s="287">
        <v>-88</v>
      </c>
      <c r="K53" s="287">
        <v>98</v>
      </c>
      <c r="L53" s="336">
        <v>10</v>
      </c>
      <c r="M53" s="287">
        <v>-65</v>
      </c>
      <c r="N53" s="287">
        <v>-21</v>
      </c>
      <c r="O53" s="287">
        <v>93</v>
      </c>
      <c r="P53" s="287">
        <v>21</v>
      </c>
      <c r="Q53" s="336">
        <f>SUM(M53:P53)</f>
        <v>28</v>
      </c>
      <c r="R53" s="287">
        <v>-92</v>
      </c>
      <c r="S53" s="287">
        <v>54</v>
      </c>
      <c r="T53" s="287">
        <v>-62</v>
      </c>
      <c r="U53" s="318">
        <v>23</v>
      </c>
      <c r="V53" s="336">
        <f>SUM(R53:U53)</f>
        <v>-77</v>
      </c>
      <c r="W53" s="287">
        <v>50</v>
      </c>
      <c r="X53" s="287">
        <v>-12</v>
      </c>
      <c r="Y53" s="287">
        <v>2</v>
      </c>
      <c r="Z53" s="318">
        <v>29</v>
      </c>
      <c r="AA53" s="336">
        <f>SUM(W53:Z53)</f>
        <v>69</v>
      </c>
      <c r="AB53" s="287">
        <v>8</v>
      </c>
      <c r="AC53" s="287">
        <v>43</v>
      </c>
      <c r="AD53" s="287">
        <v>-44</v>
      </c>
      <c r="AE53" s="318">
        <v>-16</v>
      </c>
      <c r="AF53" s="336">
        <v>-9</v>
      </c>
      <c r="AG53" s="287">
        <v>-59</v>
      </c>
      <c r="AH53" s="287">
        <v>68</v>
      </c>
      <c r="AI53" s="287">
        <v>-12</v>
      </c>
      <c r="AJ53" s="318">
        <v>10</v>
      </c>
      <c r="AK53" s="336">
        <f>SUM(AG53:AJ53)</f>
        <v>7</v>
      </c>
      <c r="AL53" s="287">
        <v>57</v>
      </c>
      <c r="AM53" s="577"/>
    </row>
    <row r="54" spans="2:39" ht="13.5" thickBot="1">
      <c r="B54" s="319" t="str">
        <f>names!$A1057</f>
        <v>Pozostałe</v>
      </c>
      <c r="C54" s="289">
        <v>5</v>
      </c>
      <c r="D54" s="299">
        <v>-19</v>
      </c>
      <c r="E54" s="299">
        <v>-6</v>
      </c>
      <c r="F54" s="299">
        <v>1</v>
      </c>
      <c r="G54" s="337">
        <v>-19</v>
      </c>
      <c r="H54" s="442">
        <v>-3</v>
      </c>
      <c r="I54" s="299">
        <v>2</v>
      </c>
      <c r="J54" s="299">
        <v>0</v>
      </c>
      <c r="K54" s="299">
        <v>-32</v>
      </c>
      <c r="L54" s="337">
        <v>-33</v>
      </c>
      <c r="M54" s="299">
        <v>13</v>
      </c>
      <c r="N54" s="299">
        <v>5</v>
      </c>
      <c r="O54" s="299">
        <v>-9</v>
      </c>
      <c r="P54" s="299">
        <v>-2</v>
      </c>
      <c r="Q54" s="337">
        <f>SUM(M54:P54)</f>
        <v>7</v>
      </c>
      <c r="R54" s="299">
        <v>-3</v>
      </c>
      <c r="S54" s="299">
        <v>9</v>
      </c>
      <c r="T54" s="299">
        <v>-5</v>
      </c>
      <c r="U54" s="320">
        <v>9</v>
      </c>
      <c r="V54" s="337">
        <f>SUM(R54:U54)</f>
        <v>10</v>
      </c>
      <c r="W54" s="299">
        <v>-2</v>
      </c>
      <c r="X54" s="299">
        <v>-5</v>
      </c>
      <c r="Y54" s="299">
        <v>2</v>
      </c>
      <c r="Z54" s="320">
        <v>8</v>
      </c>
      <c r="AA54" s="337">
        <f>SUM(W54:Z54)</f>
        <v>3</v>
      </c>
      <c r="AB54" s="299">
        <v>2</v>
      </c>
      <c r="AC54" s="299">
        <v>6</v>
      </c>
      <c r="AD54" s="299">
        <v>4</v>
      </c>
      <c r="AE54" s="320">
        <v>-16</v>
      </c>
      <c r="AF54" s="337">
        <v>-4</v>
      </c>
      <c r="AG54" s="299">
        <v>3</v>
      </c>
      <c r="AH54" s="299">
        <v>5</v>
      </c>
      <c r="AI54" s="299">
        <v>-7</v>
      </c>
      <c r="AJ54" s="320">
        <v>5</v>
      </c>
      <c r="AK54" s="337">
        <f>SUM(AG54:AJ54)</f>
        <v>6</v>
      </c>
      <c r="AL54" s="299">
        <v>-34</v>
      </c>
      <c r="AM54" s="577"/>
    </row>
    <row r="55" spans="2:39">
      <c r="AM55" s="577"/>
    </row>
    <row r="56" spans="2:39">
      <c r="B56" s="268" t="str">
        <f>names!$A1059</f>
        <v>*) Dane przekształcone – zmiana metody konsolidacji spółek Basell ORLEN Polyolefines Sp. z o.o. i Płocki Park Przemysłowo Technologiczny S.A. z metody proporcjonalnej na metodę praw własności zgodnie z MSSF 11.</v>
      </c>
      <c r="AM56" s="577"/>
    </row>
    <row r="57" spans="2:39" ht="177.75" customHeight="1">
      <c r="B57" s="999" t="str">
        <f>names!A1060</f>
        <v>**) Odpisy aktualizujące wartość aktywów trwałych ujęte w:                                                                                                                                                                                                                                                                                                                                                                                                                                                                                                                                                                                                                                                                                  -  II kwartale 2014 roku w wysokości (5,0) mld PLN dotyczyły głównie rafinerii ORLEN Lietuva w kwocie (4,2) mld PLN, części rafineryjnej GrupyUnipetrol w kwocie (0,7) mld PLN oraz Spolana z Grupy Anwil i Grupy Rafinerii Jedlicze w łącznej wysokości (0,1) mld PLN,                                                                                                                                                                                                                                                                                                                                                                                                              - IV kwartale 2014 roku w wysokości (0,3) mld PLN dotyczące działalności Grupy ORLEN Upstream w Kanadzie,
- II kwartale 2015 roku w wysokości (0,4) mld PLN dotyczące głównie aktywów Grupy ORLEN Upstream,
- III kwartale 2015 roku w wysokości (0,1) mld PLN dotyczące głównie części petrochemicznej Grupy Unipetrol,
- IV kwartale 2015 roku w wysokości (0,4) mld PLN dotyczące aktywów poszukiwawczych Grupy ORLEN Upstream w Kanadzie,
- IV kwartale 2016 roku w wysokości 0,2 mld PLN dotyczące głównie części rafineryjnej Grupy Unipetrol w kwocie 0,3 mld PLN, działalności poszukiwawczej Grupy ORLEN Upstream w Polsce i Grupy ORLEN Oil w łącznej wysokości (0,1) mld PLN,
- IV kwartale 2017 roku w wysokości (0,1) mld PLN dotyczące głównie działalności poszukiwawczej Grupy ORLEN Upstream w Polsce,
- IV kwartale 2018 roku w wysokości 0,7 mld PLN dotyczące głównie aktywów segmentu downstream w Grupie Unipetrol,
- III kwartale 2019 roku w wysokości (0,1) mld PLN dotyczące głównie działalności poszukiwawczej Grupy ORLEN Upstream w Polsce.
- IV kwartale 2019 roku w wysokości (0,1) mld PLN dotyczące głównie działalności poszukiwawczej Grupy ORLEN Upstream w Polsce.
- I kwartale 2020 roku w wysokości (0,5) mld PLN dotyczące głównie aktywów Grupy ORLEN Upstream.</v>
      </c>
      <c r="C57" s="999"/>
      <c r="D57" s="999"/>
      <c r="E57" s="999"/>
      <c r="F57" s="999"/>
      <c r="G57" s="999"/>
      <c r="H57" s="999"/>
      <c r="I57" s="999"/>
      <c r="J57" s="999"/>
      <c r="K57" s="999"/>
      <c r="L57" s="999"/>
      <c r="M57" s="999"/>
      <c r="N57" s="999"/>
      <c r="O57" s="999"/>
      <c r="P57" s="999"/>
      <c r="Q57" s="999"/>
      <c r="R57" s="999"/>
      <c r="S57" s="999"/>
      <c r="T57" s="999"/>
      <c r="U57" s="999"/>
      <c r="V57" s="999"/>
      <c r="W57" s="999"/>
      <c r="X57" s="999"/>
      <c r="Y57" s="999"/>
      <c r="Z57" s="999"/>
      <c r="AA57" s="999"/>
      <c r="AB57" s="999"/>
      <c r="AC57" s="999"/>
      <c r="AD57" s="999"/>
      <c r="AE57" s="999"/>
      <c r="AF57" s="999"/>
      <c r="AG57" s="999"/>
      <c r="AH57" s="999"/>
      <c r="AI57" s="999"/>
      <c r="AM57" s="577"/>
    </row>
    <row r="58" spans="2:39" ht="26.25" customHeight="1">
      <c r="B58" s="999" t="str">
        <f>names!A1061</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C58" s="999"/>
      <c r="D58" s="999"/>
      <c r="E58" s="999"/>
      <c r="F58" s="999"/>
      <c r="G58" s="999"/>
      <c r="H58" s="999"/>
      <c r="I58" s="999"/>
      <c r="J58" s="999"/>
      <c r="K58" s="999"/>
      <c r="L58" s="999"/>
      <c r="M58" s="999"/>
      <c r="N58" s="999"/>
      <c r="O58" s="999"/>
      <c r="P58" s="999"/>
      <c r="Q58" s="999"/>
      <c r="R58" s="999"/>
      <c r="S58" s="999"/>
      <c r="T58" s="999"/>
      <c r="U58" s="999"/>
      <c r="V58" s="999"/>
      <c r="W58" s="999"/>
      <c r="X58" s="999"/>
      <c r="Y58" s="999"/>
      <c r="Z58" s="999"/>
      <c r="AA58" s="999"/>
      <c r="AB58" s="999"/>
      <c r="AC58" s="999"/>
      <c r="AD58" s="999"/>
      <c r="AE58" s="999"/>
      <c r="AF58" s="999"/>
      <c r="AG58" s="999"/>
      <c r="AH58" s="999"/>
      <c r="AI58" s="999"/>
      <c r="AJ58" s="999"/>
      <c r="AK58" s="999"/>
      <c r="AM58" s="577"/>
    </row>
    <row r="59" spans="2:39" ht="17.25" customHeight="1">
      <c r="B59" s="999" t="str">
        <f>names!A1062</f>
        <v>****) Zgodnie z MSSF 16 Leasing w pozycji zwiększenie aktywów trwałych ujęto wartość praw do użytkowania w celu zachowania spójności zaktualizowano również dane za I kwartał 2019.</v>
      </c>
      <c r="C59" s="999"/>
      <c r="D59" s="999"/>
      <c r="E59" s="999"/>
      <c r="F59" s="999"/>
      <c r="G59" s="999"/>
      <c r="H59" s="999"/>
      <c r="I59" s="999"/>
      <c r="J59" s="999"/>
      <c r="K59" s="999"/>
      <c r="L59" s="999"/>
      <c r="M59" s="999"/>
      <c r="N59" s="999"/>
      <c r="O59" s="999"/>
      <c r="P59" s="999"/>
      <c r="Q59" s="999"/>
      <c r="R59" s="999"/>
      <c r="S59" s="999"/>
      <c r="T59" s="999"/>
      <c r="U59" s="999"/>
      <c r="V59" s="999"/>
      <c r="W59" s="999"/>
      <c r="X59" s="999"/>
      <c r="Y59" s="999"/>
      <c r="Z59" s="999"/>
      <c r="AA59" s="999"/>
      <c r="AB59" s="999"/>
      <c r="AC59" s="999"/>
      <c r="AD59" s="999"/>
      <c r="AE59" s="999"/>
      <c r="AF59" s="999"/>
      <c r="AG59" s="999"/>
      <c r="AH59" s="999"/>
      <c r="AI59" s="999"/>
      <c r="AJ59" s="999"/>
      <c r="AK59" s="999"/>
      <c r="AM59" s="577"/>
    </row>
    <row r="60" spans="2:39">
      <c r="B60" s="268" t="str">
        <f>names!A1063</f>
        <v>1) Zawiera Funkcje Korporacyjne spółek Grupy ORLEN oraz spółki nieujęte w powyższych segmentach.</v>
      </c>
      <c r="AM60" s="577"/>
    </row>
    <row r="61" spans="2:39">
      <c r="B61" s="999" t="str">
        <f>names!A1064</f>
        <v>2) ROACE = zysk operacyjny z ostatnich czterech kwartałów po opodatkowaniu przed odpisem aktualizującym wartość aktywów trwałych / średni kapitał zaangażowany (kapitał własny + dług netto) z ostatnich czterech kwartałów.</v>
      </c>
      <c r="C61" s="999"/>
      <c r="D61" s="999"/>
      <c r="E61" s="999"/>
      <c r="F61" s="999"/>
      <c r="G61" s="999"/>
      <c r="H61" s="999"/>
      <c r="I61" s="999"/>
      <c r="J61" s="999"/>
      <c r="K61" s="999"/>
      <c r="L61" s="999"/>
      <c r="M61" s="999"/>
      <c r="N61" s="999"/>
      <c r="AM61" s="577"/>
    </row>
    <row r="62" spans="2:39">
      <c r="B62" s="998" t="str">
        <f>names!A1065</f>
        <v>3) ROACE LIFO = zysk operacyjny z ostatnich czterech kwartałów wg LIFO po opodatkowaniu przed odpisem aktualizującym wartość aktywów trwałych / średni kapitał zaangażowany (kapitał własny + dług netto) z ostatnich czterech kwartałów.</v>
      </c>
      <c r="C62" s="998"/>
      <c r="D62" s="998"/>
      <c r="E62" s="998"/>
      <c r="F62" s="998"/>
      <c r="G62" s="998"/>
      <c r="H62" s="998"/>
      <c r="I62" s="998"/>
      <c r="J62" s="998"/>
      <c r="K62" s="998"/>
      <c r="L62" s="998"/>
      <c r="M62" s="998"/>
      <c r="N62" s="998"/>
      <c r="AM62" s="577"/>
    </row>
    <row r="63" spans="2:39">
      <c r="B63" s="268" t="str">
        <f>names!A1066</f>
        <v>4) Dźwignia finansowa netto = dług netto / kapitał własny - wyliczone wg stanu na koniec okresu.</v>
      </c>
      <c r="AM63" s="577"/>
    </row>
    <row r="64" spans="2:39">
      <c r="B64" s="268" t="str">
        <f>names!A1067</f>
        <v>5) Kowenant badany zgodnie z zapisami umów kredytowych bez uwzględnienia odpisów aktualizujących aktywów trwałych.</v>
      </c>
      <c r="AM64" s="577"/>
    </row>
    <row r="65" spans="2:43">
      <c r="B65" s="268" t="str">
        <f>names!A1068</f>
        <v>6) Dług (odsetkowy) pomniejszony o środki pieniężne i ich ekwiwalenty na koniec okresu / EBITDA wg LIFO z ostatnich czterech kwartałów.</v>
      </c>
      <c r="AM65" s="577"/>
    </row>
    <row r="66" spans="2:43">
      <c r="B66" s="268" t="str">
        <f>names!A1069</f>
        <v>7) Dług (odsetkowy) pomniejszony o środki pieniężne i ich ekwiwalenty na koniec okresu / EBITDA z ostatnich czterech kwartałów.</v>
      </c>
      <c r="AM66" s="577"/>
    </row>
    <row r="68" spans="2:43">
      <c r="B68" s="577"/>
      <c r="C68" s="577"/>
      <c r="D68" s="577"/>
      <c r="E68" s="577"/>
      <c r="F68" s="577"/>
      <c r="G68" s="577"/>
      <c r="H68" s="577"/>
      <c r="I68" s="577"/>
      <c r="J68" s="577"/>
      <c r="K68" s="577"/>
      <c r="L68" s="577"/>
      <c r="M68" s="577"/>
      <c r="N68" s="577"/>
      <c r="O68" s="577"/>
      <c r="P68" s="577"/>
      <c r="Q68" s="577"/>
      <c r="R68" s="577"/>
      <c r="S68" s="577"/>
      <c r="T68" s="577"/>
      <c r="U68" s="577"/>
      <c r="V68" s="577"/>
      <c r="W68" s="577"/>
      <c r="X68" s="577"/>
      <c r="Y68" s="577"/>
      <c r="Z68" s="577"/>
      <c r="AA68" s="577"/>
      <c r="AB68" s="577"/>
      <c r="AC68" s="577"/>
      <c r="AD68" s="577"/>
      <c r="AE68" s="577"/>
      <c r="AF68" s="577"/>
      <c r="AG68" s="577"/>
      <c r="AH68" s="577"/>
      <c r="AI68" s="577"/>
      <c r="AJ68" s="577"/>
      <c r="AK68" s="577"/>
      <c r="AL68" s="577"/>
    </row>
    <row r="69" spans="2:43">
      <c r="G69" s="482"/>
      <c r="L69" s="482"/>
      <c r="Q69" s="482"/>
      <c r="V69" s="482"/>
      <c r="AA69" s="482"/>
      <c r="AF69" s="482"/>
      <c r="AK69" s="482"/>
      <c r="AL69" s="482"/>
    </row>
    <row r="70" spans="2:43">
      <c r="G70" s="482"/>
      <c r="L70" s="482"/>
      <c r="Q70" s="482"/>
      <c r="V70" s="482"/>
      <c r="AA70" s="482"/>
      <c r="AF70" s="482"/>
      <c r="AK70" s="482"/>
      <c r="AL70" s="482"/>
    </row>
    <row r="71" spans="2:43">
      <c r="G71" s="482"/>
      <c r="L71" s="482"/>
      <c r="Q71" s="482"/>
      <c r="V71" s="482"/>
      <c r="AA71" s="482"/>
      <c r="AF71" s="482"/>
      <c r="AK71" s="482"/>
      <c r="AL71" s="482"/>
    </row>
    <row r="72" spans="2:43">
      <c r="G72" s="482"/>
      <c r="L72" s="482"/>
      <c r="Q72" s="482"/>
      <c r="V72" s="482"/>
      <c r="AA72" s="482"/>
      <c r="AF72" s="482"/>
      <c r="AK72" s="482"/>
      <c r="AL72" s="482"/>
    </row>
    <row r="73" spans="2:43">
      <c r="B73" s="269"/>
      <c r="G73" s="482"/>
      <c r="L73" s="482"/>
      <c r="Q73" s="482"/>
      <c r="V73" s="482"/>
      <c r="AA73" s="482"/>
      <c r="AF73" s="482"/>
      <c r="AK73" s="482"/>
      <c r="AL73" s="482"/>
    </row>
    <row r="74" spans="2:43" s="726" customFormat="1" ht="9.75">
      <c r="B74" s="724"/>
      <c r="C74" s="725"/>
    </row>
    <row r="75" spans="2:43" s="476" customFormat="1">
      <c r="B75" s="477"/>
      <c r="C75" s="478"/>
      <c r="D75" s="478"/>
      <c r="E75" s="478"/>
      <c r="F75" s="478"/>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478"/>
      <c r="AF75" s="478"/>
      <c r="AG75" s="478"/>
      <c r="AH75" s="478"/>
      <c r="AI75" s="478"/>
      <c r="AJ75" s="478"/>
      <c r="AK75" s="478"/>
      <c r="AL75" s="478"/>
      <c r="AM75" s="479"/>
      <c r="AN75" s="479"/>
      <c r="AO75" s="479"/>
      <c r="AP75" s="479"/>
      <c r="AQ75" s="479"/>
    </row>
    <row r="76" spans="2:43" s="476" customFormat="1" ht="12">
      <c r="C76" s="478"/>
      <c r="D76" s="478"/>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78"/>
      <c r="AH76" s="478"/>
      <c r="AI76" s="478"/>
      <c r="AJ76" s="478"/>
      <c r="AK76" s="478"/>
      <c r="AL76" s="478"/>
      <c r="AM76" s="479"/>
      <c r="AN76" s="479"/>
      <c r="AO76" s="479"/>
      <c r="AP76" s="479"/>
      <c r="AQ76" s="479"/>
    </row>
    <row r="77" spans="2:43" s="476" customFormat="1" ht="12">
      <c r="B77" s="480"/>
      <c r="C77" s="481"/>
      <c r="D77" s="481"/>
      <c r="E77" s="481"/>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79"/>
      <c r="AN77" s="479"/>
      <c r="AO77" s="479"/>
      <c r="AP77" s="479"/>
      <c r="AQ77" s="479"/>
    </row>
    <row r="78" spans="2:43" s="476" customFormat="1" ht="12">
      <c r="B78" s="480"/>
      <c r="C78" s="481"/>
      <c r="D78" s="481"/>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79"/>
      <c r="AN78" s="479"/>
      <c r="AO78" s="479"/>
      <c r="AP78" s="479"/>
      <c r="AQ78" s="479"/>
    </row>
    <row r="79" spans="2:43" s="476" customFormat="1" ht="12">
      <c r="B79" s="480"/>
      <c r="C79" s="481"/>
      <c r="D79" s="481"/>
      <c r="E79" s="481"/>
      <c r="F79" s="481"/>
      <c r="G79" s="481"/>
      <c r="H79" s="481"/>
      <c r="I79" s="481"/>
      <c r="J79" s="481"/>
      <c r="K79" s="481"/>
      <c r="L79" s="481"/>
      <c r="M79" s="481"/>
      <c r="N79" s="481"/>
      <c r="O79" s="481"/>
      <c r="P79" s="481"/>
      <c r="Q79" s="481"/>
      <c r="R79" s="481"/>
      <c r="S79" s="481"/>
      <c r="T79" s="481"/>
      <c r="U79" s="481"/>
      <c r="V79" s="481"/>
      <c r="W79" s="481"/>
      <c r="X79" s="481"/>
      <c r="Y79" s="481"/>
      <c r="Z79" s="481"/>
      <c r="AA79" s="481"/>
      <c r="AB79" s="481"/>
      <c r="AC79" s="481"/>
      <c r="AD79" s="481"/>
      <c r="AE79" s="481"/>
      <c r="AF79" s="481"/>
      <c r="AG79" s="481"/>
      <c r="AH79" s="481"/>
      <c r="AI79" s="481"/>
      <c r="AJ79" s="481"/>
      <c r="AK79" s="481"/>
      <c r="AL79" s="481"/>
      <c r="AM79" s="479"/>
      <c r="AN79" s="479"/>
      <c r="AO79" s="479"/>
      <c r="AP79" s="479"/>
      <c r="AQ79" s="479"/>
    </row>
    <row r="80" spans="2:43" s="476" customFormat="1" ht="12">
      <c r="B80" s="480"/>
      <c r="C80" s="481"/>
      <c r="D80" s="481"/>
      <c r="E80" s="481"/>
      <c r="F80" s="481"/>
      <c r="G80" s="481"/>
      <c r="H80" s="481"/>
      <c r="I80" s="481"/>
      <c r="J80" s="481"/>
      <c r="K80" s="481"/>
      <c r="L80" s="481"/>
      <c r="M80" s="481"/>
      <c r="N80" s="481"/>
      <c r="O80" s="481"/>
      <c r="P80" s="481"/>
      <c r="Q80" s="481"/>
      <c r="R80" s="481"/>
      <c r="S80" s="481"/>
      <c r="T80" s="481"/>
      <c r="U80" s="481"/>
      <c r="V80" s="481"/>
      <c r="W80" s="481"/>
      <c r="X80" s="481"/>
      <c r="Y80" s="481"/>
      <c r="Z80" s="481"/>
      <c r="AA80" s="481"/>
      <c r="AB80" s="481"/>
      <c r="AC80" s="481"/>
      <c r="AD80" s="481"/>
      <c r="AE80" s="481"/>
      <c r="AF80" s="481"/>
      <c r="AG80" s="481"/>
      <c r="AH80" s="481"/>
      <c r="AI80" s="481"/>
      <c r="AJ80" s="481"/>
      <c r="AK80" s="481"/>
      <c r="AL80" s="481"/>
      <c r="AM80" s="479"/>
      <c r="AN80" s="479"/>
      <c r="AO80" s="479"/>
      <c r="AP80" s="479"/>
      <c r="AQ80" s="479"/>
    </row>
    <row r="81" spans="2:43" s="476" customFormat="1" ht="12">
      <c r="B81" s="482"/>
      <c r="C81" s="482"/>
      <c r="D81" s="482"/>
      <c r="E81" s="482"/>
      <c r="F81" s="482"/>
      <c r="G81" s="482"/>
      <c r="H81" s="482"/>
      <c r="I81" s="482"/>
      <c r="J81" s="482"/>
      <c r="K81" s="482"/>
      <c r="L81" s="482"/>
      <c r="M81" s="482"/>
      <c r="N81" s="482"/>
      <c r="O81" s="482"/>
      <c r="P81" s="482"/>
      <c r="Q81" s="482"/>
      <c r="R81" s="482"/>
      <c r="S81" s="482"/>
      <c r="T81" s="482"/>
      <c r="U81" s="482"/>
      <c r="V81" s="482"/>
      <c r="W81" s="482"/>
      <c r="X81" s="482"/>
      <c r="Y81" s="482"/>
      <c r="Z81" s="482"/>
      <c r="AA81" s="482"/>
      <c r="AB81" s="482"/>
      <c r="AC81" s="482"/>
      <c r="AD81" s="482"/>
      <c r="AE81" s="482"/>
      <c r="AF81" s="482"/>
      <c r="AG81" s="482"/>
      <c r="AH81" s="482"/>
      <c r="AI81" s="482"/>
      <c r="AJ81" s="482"/>
      <c r="AK81" s="482"/>
      <c r="AL81" s="482"/>
      <c r="AM81" s="479"/>
      <c r="AN81" s="479"/>
      <c r="AO81" s="479"/>
      <c r="AP81" s="479"/>
      <c r="AQ81" s="479"/>
    </row>
    <row r="82" spans="2:43" s="476" customFormat="1" ht="12">
      <c r="B82" s="480"/>
      <c r="C82" s="481"/>
      <c r="D82" s="481"/>
      <c r="E82" s="481"/>
      <c r="F82" s="481"/>
      <c r="G82" s="481"/>
      <c r="H82" s="481"/>
      <c r="I82" s="481"/>
      <c r="J82" s="481"/>
      <c r="K82" s="481"/>
      <c r="L82" s="481"/>
      <c r="M82" s="481"/>
      <c r="N82" s="481"/>
      <c r="O82" s="481"/>
      <c r="P82" s="481"/>
      <c r="Q82" s="481"/>
      <c r="R82" s="481"/>
      <c r="S82" s="481"/>
      <c r="T82" s="481"/>
      <c r="U82" s="481"/>
      <c r="V82" s="481"/>
      <c r="W82" s="481"/>
      <c r="X82" s="481"/>
      <c r="Y82" s="481"/>
      <c r="Z82" s="481"/>
      <c r="AA82" s="481"/>
      <c r="AB82" s="481"/>
      <c r="AC82" s="481"/>
      <c r="AD82" s="481"/>
      <c r="AE82" s="481"/>
      <c r="AF82" s="481"/>
      <c r="AG82" s="481"/>
      <c r="AH82" s="481"/>
      <c r="AI82" s="481"/>
      <c r="AJ82" s="481"/>
      <c r="AK82" s="481"/>
      <c r="AL82" s="481"/>
      <c r="AM82" s="479"/>
      <c r="AN82" s="479"/>
      <c r="AO82" s="479"/>
      <c r="AP82" s="479"/>
      <c r="AQ82" s="479"/>
    </row>
    <row r="83" spans="2:43" s="476" customFormat="1" ht="12">
      <c r="B83" s="480"/>
      <c r="C83" s="481"/>
      <c r="D83" s="481"/>
      <c r="E83" s="481"/>
      <c r="F83" s="481"/>
      <c r="G83" s="481"/>
      <c r="H83" s="481"/>
      <c r="I83" s="481"/>
      <c r="J83" s="481"/>
      <c r="K83" s="481"/>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81"/>
      <c r="AM83" s="479"/>
      <c r="AN83" s="479"/>
      <c r="AO83" s="479"/>
      <c r="AP83" s="479"/>
      <c r="AQ83" s="479"/>
    </row>
    <row r="84" spans="2:43" s="476" customFormat="1" ht="12">
      <c r="B84" s="480"/>
      <c r="C84" s="481"/>
      <c r="D84" s="481"/>
      <c r="E84" s="481"/>
      <c r="F84" s="481"/>
      <c r="G84" s="481"/>
      <c r="H84" s="481"/>
      <c r="I84" s="481"/>
      <c r="J84" s="481"/>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481"/>
      <c r="AI84" s="481"/>
      <c r="AJ84" s="481"/>
      <c r="AK84" s="481"/>
      <c r="AL84" s="481"/>
      <c r="AM84" s="479"/>
      <c r="AN84" s="479"/>
      <c r="AO84" s="479"/>
      <c r="AP84" s="479"/>
      <c r="AQ84" s="479"/>
    </row>
    <row r="85" spans="2:43">
      <c r="B85" s="480"/>
      <c r="C85" s="481"/>
      <c r="D85" s="481"/>
      <c r="E85" s="481"/>
      <c r="F85" s="481"/>
      <c r="G85" s="481"/>
      <c r="H85" s="481"/>
      <c r="I85" s="481"/>
      <c r="J85" s="481"/>
      <c r="K85" s="481"/>
      <c r="L85" s="481"/>
      <c r="M85" s="481"/>
      <c r="N85" s="481"/>
      <c r="O85" s="481"/>
      <c r="P85" s="481"/>
      <c r="Q85" s="481"/>
      <c r="R85" s="481"/>
      <c r="S85" s="481"/>
      <c r="T85" s="481"/>
      <c r="U85" s="481"/>
      <c r="V85" s="481"/>
      <c r="W85" s="481"/>
      <c r="X85" s="481"/>
      <c r="Y85" s="481"/>
      <c r="Z85" s="481"/>
      <c r="AA85" s="481"/>
      <c r="AB85" s="481"/>
      <c r="AC85" s="481"/>
      <c r="AD85" s="481"/>
      <c r="AE85" s="481"/>
      <c r="AF85" s="481"/>
      <c r="AG85" s="481"/>
      <c r="AH85" s="481"/>
      <c r="AI85" s="481"/>
      <c r="AJ85" s="481"/>
      <c r="AK85" s="481"/>
      <c r="AL85" s="481"/>
      <c r="AM85" s="479"/>
      <c r="AN85" s="479"/>
      <c r="AO85" s="479"/>
      <c r="AP85" s="479"/>
      <c r="AQ85" s="479"/>
    </row>
    <row r="86" spans="2:43">
      <c r="B86" s="482"/>
      <c r="C86" s="482"/>
      <c r="D86" s="482"/>
      <c r="E86" s="482"/>
      <c r="F86" s="482"/>
      <c r="G86" s="482"/>
      <c r="H86" s="482"/>
      <c r="I86" s="482"/>
      <c r="J86" s="482"/>
      <c r="K86" s="482"/>
      <c r="L86" s="482"/>
      <c r="M86" s="482"/>
      <c r="N86" s="482"/>
      <c r="O86" s="482"/>
      <c r="P86" s="482"/>
      <c r="Q86" s="482"/>
      <c r="R86" s="482"/>
      <c r="S86" s="482"/>
      <c r="T86" s="482"/>
      <c r="U86" s="482"/>
      <c r="V86" s="482"/>
      <c r="W86" s="482"/>
      <c r="X86" s="482"/>
      <c r="Y86" s="482"/>
      <c r="Z86" s="482"/>
      <c r="AA86" s="482"/>
      <c r="AB86" s="482"/>
      <c r="AC86" s="482"/>
      <c r="AD86" s="482"/>
      <c r="AE86" s="482"/>
      <c r="AF86" s="482"/>
      <c r="AG86" s="482"/>
      <c r="AH86" s="482"/>
      <c r="AI86" s="482"/>
      <c r="AJ86" s="482"/>
      <c r="AK86" s="482"/>
      <c r="AL86" s="482"/>
      <c r="AM86" s="479"/>
      <c r="AN86" s="479"/>
      <c r="AO86" s="479"/>
      <c r="AP86" s="479"/>
      <c r="AQ86" s="479"/>
    </row>
    <row r="87" spans="2:43">
      <c r="B87" s="480"/>
      <c r="C87" s="481"/>
      <c r="D87" s="481"/>
      <c r="E87" s="481"/>
      <c r="F87" s="481"/>
      <c r="G87" s="481"/>
      <c r="H87" s="481"/>
      <c r="I87" s="481"/>
      <c r="J87" s="481"/>
      <c r="K87" s="481"/>
      <c r="L87" s="481"/>
      <c r="M87" s="481"/>
      <c r="N87" s="481"/>
      <c r="O87" s="481"/>
      <c r="P87" s="481"/>
      <c r="Q87" s="481"/>
      <c r="R87" s="481"/>
      <c r="S87" s="481"/>
      <c r="T87" s="481"/>
      <c r="U87" s="481"/>
      <c r="V87" s="481"/>
      <c r="W87" s="481"/>
      <c r="X87" s="481"/>
      <c r="Y87" s="481"/>
      <c r="Z87" s="481"/>
      <c r="AA87" s="481"/>
      <c r="AB87" s="481"/>
      <c r="AC87" s="481"/>
      <c r="AD87" s="481"/>
      <c r="AE87" s="481"/>
      <c r="AF87" s="481"/>
      <c r="AG87" s="481"/>
      <c r="AH87" s="481"/>
      <c r="AI87" s="481"/>
      <c r="AJ87" s="481"/>
      <c r="AK87" s="481"/>
      <c r="AL87" s="481"/>
      <c r="AM87" s="479"/>
      <c r="AN87" s="479"/>
      <c r="AO87" s="479"/>
      <c r="AP87" s="479"/>
      <c r="AQ87" s="479"/>
    </row>
    <row r="88" spans="2:43">
      <c r="B88" s="480"/>
      <c r="C88" s="481"/>
      <c r="D88" s="481"/>
      <c r="E88" s="481"/>
      <c r="F88" s="481"/>
      <c r="G88" s="481"/>
      <c r="H88" s="481"/>
      <c r="I88" s="481"/>
      <c r="J88" s="481"/>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481"/>
      <c r="AI88" s="481"/>
      <c r="AJ88" s="481"/>
      <c r="AK88" s="481"/>
      <c r="AL88" s="481"/>
      <c r="AM88" s="479"/>
      <c r="AN88" s="479"/>
      <c r="AO88" s="479"/>
      <c r="AP88" s="479"/>
      <c r="AQ88" s="479"/>
    </row>
    <row r="89" spans="2:43">
      <c r="B89" s="480"/>
      <c r="C89" s="481"/>
      <c r="D89" s="481"/>
      <c r="E89" s="481"/>
      <c r="F89" s="481"/>
      <c r="G89" s="481"/>
      <c r="H89" s="481"/>
      <c r="I89" s="481"/>
      <c r="J89" s="481"/>
      <c r="K89" s="481"/>
      <c r="L89" s="481"/>
      <c r="M89" s="481"/>
      <c r="N89" s="481"/>
      <c r="O89" s="481"/>
      <c r="P89" s="481"/>
      <c r="Q89" s="481"/>
      <c r="R89" s="481"/>
      <c r="S89" s="481"/>
      <c r="T89" s="481"/>
      <c r="U89" s="481"/>
      <c r="V89" s="481"/>
      <c r="W89" s="481"/>
      <c r="X89" s="481"/>
      <c r="Y89" s="481"/>
      <c r="Z89" s="481"/>
      <c r="AA89" s="481"/>
      <c r="AB89" s="481"/>
      <c r="AC89" s="481"/>
      <c r="AD89" s="481"/>
      <c r="AE89" s="481"/>
      <c r="AF89" s="481"/>
      <c r="AG89" s="481"/>
      <c r="AH89" s="481"/>
      <c r="AI89" s="481"/>
      <c r="AJ89" s="481"/>
      <c r="AK89" s="481"/>
      <c r="AL89" s="481"/>
      <c r="AM89" s="479"/>
      <c r="AN89" s="479"/>
      <c r="AO89" s="479"/>
      <c r="AP89" s="479"/>
      <c r="AQ89" s="479"/>
    </row>
    <row r="90" spans="2:43">
      <c r="B90" s="480"/>
      <c r="C90" s="481"/>
      <c r="D90" s="481"/>
      <c r="E90" s="481"/>
      <c r="F90" s="481"/>
      <c r="G90" s="481"/>
      <c r="H90" s="481"/>
      <c r="I90" s="481"/>
      <c r="J90" s="481"/>
      <c r="K90" s="481"/>
      <c r="L90" s="481"/>
      <c r="M90" s="481"/>
      <c r="N90" s="481"/>
      <c r="O90" s="481"/>
      <c r="P90" s="481"/>
      <c r="Q90" s="481"/>
      <c r="R90" s="481"/>
      <c r="S90" s="481"/>
      <c r="T90" s="481"/>
      <c r="U90" s="481"/>
      <c r="V90" s="481"/>
      <c r="W90" s="481"/>
      <c r="X90" s="481"/>
      <c r="Y90" s="481"/>
      <c r="Z90" s="481"/>
      <c r="AA90" s="481"/>
      <c r="AB90" s="481"/>
      <c r="AC90" s="481"/>
      <c r="AD90" s="481"/>
      <c r="AE90" s="481"/>
      <c r="AF90" s="481"/>
      <c r="AG90" s="481"/>
      <c r="AH90" s="481"/>
      <c r="AI90" s="481"/>
      <c r="AJ90" s="481"/>
      <c r="AK90" s="481"/>
      <c r="AL90" s="481"/>
      <c r="AM90" s="479"/>
      <c r="AN90" s="479"/>
      <c r="AO90" s="479"/>
      <c r="AP90" s="479"/>
      <c r="AQ90" s="479"/>
    </row>
    <row r="91" spans="2:43">
      <c r="B91" s="482"/>
      <c r="C91" s="482"/>
      <c r="D91" s="482"/>
      <c r="E91" s="482"/>
      <c r="F91" s="482"/>
      <c r="G91" s="482"/>
      <c r="H91" s="482"/>
      <c r="I91" s="482"/>
      <c r="J91" s="482"/>
      <c r="K91" s="482"/>
      <c r="L91" s="482"/>
      <c r="M91" s="482"/>
      <c r="N91" s="482"/>
      <c r="O91" s="482"/>
      <c r="P91" s="482"/>
      <c r="Q91" s="482"/>
      <c r="R91" s="482"/>
      <c r="S91" s="482"/>
      <c r="T91" s="482"/>
      <c r="U91" s="482"/>
      <c r="V91" s="482"/>
      <c r="W91" s="482"/>
      <c r="X91" s="482"/>
      <c r="Y91" s="482"/>
      <c r="Z91" s="482"/>
      <c r="AA91" s="482"/>
      <c r="AB91" s="482"/>
      <c r="AC91" s="482"/>
      <c r="AD91" s="482"/>
      <c r="AE91" s="482"/>
      <c r="AF91" s="482"/>
      <c r="AG91" s="482"/>
      <c r="AH91" s="482"/>
      <c r="AI91" s="482"/>
      <c r="AJ91" s="482"/>
      <c r="AK91" s="482"/>
      <c r="AL91" s="482"/>
      <c r="AM91" s="479"/>
      <c r="AN91" s="479"/>
      <c r="AO91" s="479"/>
      <c r="AP91" s="479"/>
      <c r="AQ91" s="479"/>
    </row>
    <row r="92" spans="2:43">
      <c r="B92" s="480"/>
      <c r="C92" s="481"/>
      <c r="D92" s="481"/>
      <c r="E92" s="481"/>
      <c r="F92" s="481"/>
      <c r="G92" s="481"/>
      <c r="H92" s="481"/>
      <c r="I92" s="481"/>
      <c r="J92" s="481"/>
      <c r="K92" s="481"/>
      <c r="L92" s="481"/>
      <c r="M92" s="481"/>
      <c r="N92" s="481"/>
      <c r="O92" s="481"/>
      <c r="P92" s="481"/>
      <c r="Q92" s="481"/>
      <c r="R92" s="481"/>
      <c r="S92" s="481"/>
      <c r="T92" s="481"/>
      <c r="U92" s="481"/>
      <c r="V92" s="481"/>
      <c r="W92" s="481"/>
      <c r="X92" s="481"/>
      <c r="Y92" s="481"/>
      <c r="Z92" s="481"/>
      <c r="AA92" s="481"/>
      <c r="AB92" s="481"/>
      <c r="AC92" s="481"/>
      <c r="AD92" s="481"/>
      <c r="AE92" s="481"/>
      <c r="AF92" s="481"/>
      <c r="AG92" s="481"/>
      <c r="AH92" s="481"/>
      <c r="AI92" s="481"/>
      <c r="AJ92" s="481"/>
      <c r="AK92" s="481"/>
      <c r="AL92" s="481"/>
      <c r="AM92" s="479"/>
      <c r="AN92" s="479"/>
      <c r="AO92" s="479"/>
      <c r="AP92" s="479"/>
      <c r="AQ92" s="479"/>
    </row>
    <row r="93" spans="2:43">
      <c r="B93" s="480"/>
      <c r="C93" s="481"/>
      <c r="D93" s="481"/>
      <c r="E93" s="481"/>
      <c r="F93" s="481"/>
      <c r="G93" s="481"/>
      <c r="H93" s="481"/>
      <c r="I93" s="481"/>
      <c r="J93" s="481"/>
      <c r="K93" s="481"/>
      <c r="L93" s="481"/>
      <c r="M93" s="481"/>
      <c r="N93" s="481"/>
      <c r="O93" s="481"/>
      <c r="P93" s="481"/>
      <c r="Q93" s="481"/>
      <c r="R93" s="481"/>
      <c r="S93" s="481"/>
      <c r="T93" s="481"/>
      <c r="U93" s="481"/>
      <c r="V93" s="481"/>
      <c r="W93" s="481"/>
      <c r="X93" s="481"/>
      <c r="Y93" s="481"/>
      <c r="Z93" s="481"/>
      <c r="AA93" s="481"/>
      <c r="AB93" s="481"/>
      <c r="AC93" s="481"/>
      <c r="AD93" s="481"/>
      <c r="AE93" s="481"/>
      <c r="AF93" s="481"/>
      <c r="AG93" s="481"/>
      <c r="AH93" s="481"/>
      <c r="AI93" s="481"/>
      <c r="AJ93" s="481"/>
      <c r="AK93" s="481"/>
      <c r="AL93" s="481"/>
      <c r="AM93" s="479"/>
      <c r="AN93" s="479"/>
      <c r="AO93" s="479"/>
      <c r="AP93" s="479"/>
      <c r="AQ93" s="479"/>
    </row>
    <row r="94" spans="2:43">
      <c r="B94" s="480"/>
      <c r="C94" s="481"/>
      <c r="D94" s="481"/>
      <c r="E94" s="481"/>
      <c r="F94" s="481"/>
      <c r="G94" s="481"/>
      <c r="H94" s="481"/>
      <c r="I94" s="481"/>
      <c r="J94" s="481"/>
      <c r="K94" s="481"/>
      <c r="L94" s="481"/>
      <c r="M94" s="481"/>
      <c r="N94" s="481"/>
      <c r="O94" s="481"/>
      <c r="P94" s="481"/>
      <c r="Q94" s="481"/>
      <c r="R94" s="481"/>
      <c r="S94" s="481"/>
      <c r="T94" s="481"/>
      <c r="U94" s="481"/>
      <c r="V94" s="481"/>
      <c r="W94" s="481"/>
      <c r="X94" s="481"/>
      <c r="Y94" s="481"/>
      <c r="Z94" s="481"/>
      <c r="AA94" s="481"/>
      <c r="AB94" s="481"/>
      <c r="AC94" s="481"/>
      <c r="AD94" s="481"/>
      <c r="AE94" s="481"/>
      <c r="AF94" s="481"/>
      <c r="AG94" s="481"/>
      <c r="AH94" s="481"/>
      <c r="AI94" s="481"/>
      <c r="AJ94" s="481"/>
      <c r="AK94" s="481"/>
      <c r="AL94" s="481"/>
      <c r="AM94" s="479"/>
      <c r="AN94" s="479"/>
      <c r="AO94" s="479"/>
      <c r="AP94" s="479"/>
      <c r="AQ94" s="479"/>
    </row>
    <row r="95" spans="2:43">
      <c r="B95" s="480"/>
      <c r="C95" s="481"/>
      <c r="D95" s="481"/>
      <c r="E95" s="481"/>
      <c r="F95" s="481"/>
      <c r="G95" s="481"/>
      <c r="H95" s="481"/>
      <c r="I95" s="481"/>
      <c r="J95" s="481"/>
      <c r="K95" s="481"/>
      <c r="L95" s="481"/>
      <c r="M95" s="481"/>
      <c r="N95" s="481"/>
      <c r="O95" s="481"/>
      <c r="P95" s="481"/>
      <c r="Q95" s="481"/>
      <c r="R95" s="481"/>
      <c r="S95" s="481"/>
      <c r="T95" s="481"/>
      <c r="U95" s="481"/>
      <c r="V95" s="481"/>
      <c r="W95" s="481"/>
      <c r="X95" s="481"/>
      <c r="Y95" s="481"/>
      <c r="Z95" s="481"/>
      <c r="AA95" s="481"/>
      <c r="AB95" s="481"/>
      <c r="AC95" s="481"/>
      <c r="AD95" s="481"/>
      <c r="AE95" s="481"/>
      <c r="AF95" s="481"/>
      <c r="AG95" s="481"/>
      <c r="AH95" s="481"/>
      <c r="AI95" s="481"/>
      <c r="AJ95" s="481"/>
      <c r="AK95" s="481"/>
      <c r="AL95" s="481"/>
      <c r="AM95" s="479"/>
      <c r="AN95" s="479"/>
      <c r="AO95" s="479"/>
      <c r="AP95" s="479"/>
      <c r="AQ95" s="479"/>
    </row>
    <row r="96" spans="2:43">
      <c r="B96" s="482"/>
      <c r="C96" s="482"/>
      <c r="D96" s="482"/>
      <c r="E96" s="482"/>
      <c r="F96" s="482"/>
      <c r="G96" s="482"/>
      <c r="H96" s="482"/>
      <c r="I96" s="482"/>
      <c r="J96" s="482"/>
      <c r="K96" s="482"/>
      <c r="L96" s="482"/>
      <c r="M96" s="482"/>
      <c r="N96" s="482"/>
      <c r="O96" s="482"/>
      <c r="P96" s="482"/>
      <c r="Q96" s="482"/>
      <c r="R96" s="482"/>
      <c r="S96" s="482"/>
      <c r="T96" s="482"/>
      <c r="U96" s="482"/>
      <c r="V96" s="482"/>
      <c r="W96" s="482"/>
      <c r="X96" s="482"/>
      <c r="Y96" s="482"/>
      <c r="Z96" s="482"/>
      <c r="AA96" s="482"/>
      <c r="AB96" s="482"/>
      <c r="AC96" s="482"/>
      <c r="AD96" s="482"/>
      <c r="AE96" s="482"/>
      <c r="AF96" s="482"/>
      <c r="AG96" s="482"/>
      <c r="AH96" s="482"/>
      <c r="AI96" s="482"/>
      <c r="AJ96" s="482"/>
      <c r="AK96" s="482"/>
      <c r="AL96" s="482"/>
      <c r="AM96" s="479"/>
      <c r="AN96" s="479"/>
      <c r="AO96" s="479"/>
      <c r="AP96" s="479"/>
      <c r="AQ96" s="479"/>
    </row>
    <row r="97" spans="2:43">
      <c r="B97" s="480"/>
      <c r="C97" s="269"/>
      <c r="D97" s="269"/>
      <c r="E97" s="269"/>
      <c r="F97" s="269"/>
      <c r="G97" s="269"/>
      <c r="H97" s="269"/>
      <c r="I97" s="269"/>
      <c r="J97" s="269"/>
      <c r="K97" s="269"/>
      <c r="L97" s="269"/>
      <c r="M97" s="269"/>
      <c r="N97" s="269"/>
      <c r="O97" s="269"/>
      <c r="P97" s="269"/>
      <c r="Q97" s="269"/>
      <c r="R97" s="269"/>
      <c r="S97" s="269"/>
      <c r="T97" s="269"/>
      <c r="U97" s="269"/>
      <c r="V97" s="269"/>
      <c r="W97" s="269"/>
      <c r="X97" s="269"/>
      <c r="Y97" s="269"/>
      <c r="Z97" s="269"/>
      <c r="AA97" s="269"/>
      <c r="AB97" s="269"/>
      <c r="AC97" s="269"/>
      <c r="AD97" s="269"/>
      <c r="AE97" s="269"/>
      <c r="AF97" s="269"/>
      <c r="AG97" s="269"/>
      <c r="AH97" s="269"/>
      <c r="AI97" s="269"/>
      <c r="AJ97" s="269"/>
      <c r="AK97" s="269"/>
      <c r="AL97" s="269"/>
      <c r="AM97" s="479"/>
      <c r="AN97" s="479"/>
      <c r="AO97" s="479"/>
      <c r="AP97" s="479"/>
      <c r="AQ97" s="479"/>
    </row>
    <row r="98" spans="2:43">
      <c r="B98" s="480"/>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c r="AH98" s="269"/>
      <c r="AI98" s="269"/>
      <c r="AJ98" s="269"/>
      <c r="AK98" s="269"/>
      <c r="AL98" s="269"/>
      <c r="AM98" s="479"/>
      <c r="AN98" s="479"/>
      <c r="AO98" s="479"/>
      <c r="AP98" s="479"/>
      <c r="AQ98" s="479"/>
    </row>
    <row r="99" spans="2:43">
      <c r="B99" s="480"/>
      <c r="C99" s="269"/>
      <c r="D99" s="269"/>
      <c r="E99" s="269"/>
      <c r="F99" s="269"/>
      <c r="G99" s="269"/>
      <c r="H99" s="269"/>
      <c r="I99" s="269"/>
      <c r="J99" s="269"/>
      <c r="K99" s="269"/>
      <c r="L99" s="269"/>
      <c r="M99" s="269"/>
      <c r="N99" s="269"/>
      <c r="O99" s="269"/>
      <c r="P99" s="269"/>
      <c r="Q99" s="269"/>
      <c r="R99" s="269"/>
      <c r="S99" s="269"/>
      <c r="T99" s="269"/>
      <c r="U99" s="269"/>
      <c r="V99" s="269"/>
      <c r="W99" s="269"/>
      <c r="X99" s="269"/>
      <c r="Y99" s="269"/>
      <c r="Z99" s="269"/>
      <c r="AA99" s="269"/>
      <c r="AB99" s="269"/>
      <c r="AC99" s="269"/>
      <c r="AD99" s="269"/>
      <c r="AE99" s="269"/>
      <c r="AF99" s="269"/>
      <c r="AG99" s="269"/>
      <c r="AH99" s="269"/>
      <c r="AI99" s="269"/>
      <c r="AJ99" s="269"/>
      <c r="AK99" s="269"/>
      <c r="AL99" s="269"/>
      <c r="AM99" s="479"/>
      <c r="AN99" s="479"/>
      <c r="AO99" s="479"/>
      <c r="AP99" s="479"/>
      <c r="AQ99" s="479"/>
    </row>
    <row r="100" spans="2:43">
      <c r="B100" s="480"/>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69"/>
      <c r="AI100" s="269"/>
      <c r="AJ100" s="269"/>
      <c r="AK100" s="269"/>
      <c r="AL100" s="269"/>
      <c r="AM100" s="479"/>
      <c r="AN100" s="479"/>
      <c r="AO100" s="479"/>
      <c r="AP100" s="479"/>
      <c r="AQ100" s="479"/>
    </row>
    <row r="101" spans="2:43">
      <c r="B101" s="480"/>
      <c r="C101" s="269"/>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69"/>
      <c r="AE101" s="269"/>
      <c r="AF101" s="269"/>
      <c r="AG101" s="269"/>
      <c r="AH101" s="269"/>
      <c r="AI101" s="269"/>
      <c r="AJ101" s="269"/>
      <c r="AK101" s="269"/>
      <c r="AL101" s="269"/>
      <c r="AM101" s="479"/>
      <c r="AN101" s="479"/>
      <c r="AO101" s="479"/>
      <c r="AP101" s="479"/>
      <c r="AQ101" s="479"/>
    </row>
    <row r="102" spans="2:43" s="483" customFormat="1">
      <c r="B102" s="484"/>
      <c r="C102" s="485"/>
      <c r="D102" s="485"/>
      <c r="E102" s="485"/>
      <c r="F102" s="485"/>
      <c r="G102" s="485"/>
      <c r="H102" s="485"/>
      <c r="I102" s="485"/>
      <c r="J102" s="485"/>
      <c r="K102" s="485"/>
      <c r="L102" s="485"/>
      <c r="M102" s="485"/>
      <c r="N102" s="485"/>
      <c r="O102" s="485"/>
      <c r="P102" s="485"/>
      <c r="Q102" s="485"/>
      <c r="R102" s="485"/>
      <c r="S102" s="485"/>
      <c r="T102" s="485"/>
      <c r="U102" s="485"/>
      <c r="V102" s="485"/>
      <c r="W102" s="485"/>
      <c r="X102" s="485"/>
      <c r="Y102" s="485"/>
      <c r="Z102" s="485"/>
      <c r="AA102" s="485"/>
      <c r="AB102" s="485"/>
      <c r="AC102" s="485"/>
      <c r="AD102" s="485"/>
      <c r="AE102" s="485"/>
      <c r="AF102" s="485"/>
      <c r="AG102" s="485"/>
      <c r="AH102" s="485"/>
      <c r="AI102" s="485"/>
      <c r="AJ102" s="485"/>
      <c r="AK102" s="485"/>
      <c r="AL102" s="485"/>
      <c r="AM102" s="486"/>
      <c r="AN102" s="486"/>
      <c r="AO102" s="486"/>
      <c r="AP102" s="486"/>
      <c r="AQ102" s="486"/>
    </row>
    <row r="103" spans="2:43" s="476" customFormat="1" ht="12">
      <c r="B103" s="480"/>
      <c r="C103" s="481"/>
      <c r="D103" s="481"/>
      <c r="E103" s="481"/>
      <c r="F103" s="481"/>
      <c r="G103" s="481"/>
      <c r="H103" s="481"/>
      <c r="I103" s="481"/>
      <c r="J103" s="481"/>
      <c r="K103" s="481"/>
      <c r="L103" s="481"/>
      <c r="M103" s="481"/>
      <c r="N103" s="481"/>
      <c r="O103" s="481"/>
      <c r="P103" s="481"/>
      <c r="Q103" s="481"/>
      <c r="R103" s="481"/>
      <c r="S103" s="481"/>
      <c r="T103" s="481"/>
      <c r="U103" s="481"/>
      <c r="V103" s="481"/>
      <c r="W103" s="481"/>
      <c r="X103" s="481"/>
      <c r="Y103" s="481"/>
      <c r="Z103" s="481"/>
      <c r="AA103" s="481"/>
      <c r="AB103" s="481"/>
      <c r="AC103" s="481"/>
      <c r="AD103" s="481"/>
      <c r="AE103" s="481"/>
      <c r="AF103" s="481"/>
      <c r="AG103" s="481"/>
      <c r="AH103" s="481"/>
      <c r="AI103" s="481"/>
      <c r="AJ103" s="481"/>
      <c r="AK103" s="481"/>
      <c r="AL103" s="481"/>
      <c r="AM103" s="479"/>
      <c r="AN103" s="479"/>
      <c r="AO103" s="479"/>
      <c r="AP103" s="479"/>
      <c r="AQ103" s="479"/>
    </row>
    <row r="104" spans="2:43" s="476" customFormat="1" ht="12">
      <c r="B104" s="480"/>
      <c r="C104" s="481"/>
      <c r="D104" s="481"/>
      <c r="E104" s="481"/>
      <c r="F104" s="481"/>
      <c r="G104" s="481"/>
      <c r="H104" s="481"/>
      <c r="I104" s="481"/>
      <c r="J104" s="481"/>
      <c r="K104" s="481"/>
      <c r="L104" s="481"/>
      <c r="M104" s="481"/>
      <c r="N104" s="481"/>
      <c r="O104" s="481"/>
      <c r="P104" s="481"/>
      <c r="Q104" s="481"/>
      <c r="R104" s="481"/>
      <c r="S104" s="481"/>
      <c r="T104" s="481"/>
      <c r="U104" s="481"/>
      <c r="V104" s="481"/>
      <c r="W104" s="481"/>
      <c r="X104" s="481"/>
      <c r="Y104" s="481"/>
      <c r="Z104" s="481"/>
      <c r="AA104" s="481"/>
      <c r="AB104" s="481"/>
      <c r="AC104" s="481"/>
      <c r="AD104" s="481"/>
      <c r="AE104" s="481"/>
      <c r="AF104" s="481"/>
      <c r="AG104" s="481"/>
      <c r="AH104" s="481"/>
      <c r="AI104" s="481"/>
      <c r="AJ104" s="481"/>
      <c r="AK104" s="481"/>
      <c r="AL104" s="481"/>
      <c r="AM104" s="479"/>
      <c r="AN104" s="479"/>
      <c r="AO104" s="479"/>
      <c r="AP104" s="479"/>
      <c r="AQ104" s="479"/>
    </row>
    <row r="105" spans="2:43" s="476" customFormat="1" ht="12">
      <c r="B105" s="480"/>
      <c r="C105" s="481"/>
      <c r="D105" s="481"/>
      <c r="E105" s="481"/>
      <c r="F105" s="481"/>
      <c r="G105" s="481"/>
      <c r="H105" s="481"/>
      <c r="I105" s="481"/>
      <c r="J105" s="481"/>
      <c r="K105" s="481"/>
      <c r="L105" s="481"/>
      <c r="M105" s="481"/>
      <c r="N105" s="481"/>
      <c r="O105" s="481"/>
      <c r="P105" s="481"/>
      <c r="Q105" s="481"/>
      <c r="R105" s="481"/>
      <c r="S105" s="481"/>
      <c r="T105" s="481"/>
      <c r="U105" s="481"/>
      <c r="V105" s="481"/>
      <c r="W105" s="481"/>
      <c r="X105" s="481"/>
      <c r="Y105" s="481"/>
      <c r="Z105" s="481"/>
      <c r="AA105" s="481"/>
      <c r="AB105" s="481"/>
      <c r="AC105" s="481"/>
      <c r="AD105" s="481"/>
      <c r="AE105" s="481"/>
      <c r="AF105" s="481"/>
      <c r="AG105" s="481"/>
      <c r="AH105" s="481"/>
      <c r="AI105" s="481"/>
      <c r="AJ105" s="481"/>
      <c r="AK105" s="481"/>
      <c r="AL105" s="481"/>
      <c r="AM105" s="479"/>
      <c r="AN105" s="479"/>
      <c r="AO105" s="479"/>
      <c r="AP105" s="479"/>
      <c r="AQ105" s="479"/>
    </row>
    <row r="106" spans="2:43" s="476" customFormat="1" ht="12">
      <c r="B106" s="480"/>
      <c r="C106" s="481"/>
      <c r="D106" s="481"/>
      <c r="E106" s="481"/>
      <c r="F106" s="481"/>
      <c r="G106" s="481"/>
      <c r="H106" s="481"/>
      <c r="I106" s="481"/>
      <c r="J106" s="481"/>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481"/>
      <c r="AG106" s="481"/>
      <c r="AH106" s="481"/>
      <c r="AI106" s="481"/>
      <c r="AJ106" s="481"/>
      <c r="AK106" s="481"/>
      <c r="AL106" s="481"/>
      <c r="AM106" s="479"/>
      <c r="AN106" s="479"/>
      <c r="AO106" s="479"/>
      <c r="AP106" s="479"/>
      <c r="AQ106" s="479"/>
    </row>
    <row r="107" spans="2:43">
      <c r="B107" s="480"/>
      <c r="C107" s="269"/>
      <c r="D107" s="269"/>
      <c r="E107" s="269"/>
      <c r="F107" s="269"/>
      <c r="G107" s="269"/>
      <c r="H107" s="269"/>
      <c r="I107" s="269"/>
      <c r="J107" s="269"/>
      <c r="K107" s="269"/>
      <c r="L107" s="269"/>
      <c r="M107" s="269"/>
      <c r="N107" s="269"/>
      <c r="O107" s="269"/>
      <c r="P107" s="269"/>
      <c r="Q107" s="269"/>
      <c r="R107" s="269"/>
      <c r="S107" s="269"/>
      <c r="T107" s="269"/>
      <c r="U107" s="269"/>
      <c r="V107" s="269"/>
      <c r="W107" s="269"/>
      <c r="X107" s="269"/>
      <c r="Y107" s="269"/>
      <c r="Z107" s="269"/>
      <c r="AA107" s="269"/>
      <c r="AB107" s="269"/>
      <c r="AC107" s="269"/>
      <c r="AD107" s="269"/>
      <c r="AE107" s="269"/>
      <c r="AF107" s="269"/>
      <c r="AG107" s="269"/>
      <c r="AH107" s="269"/>
      <c r="AI107" s="269"/>
      <c r="AJ107" s="269"/>
      <c r="AK107" s="269"/>
      <c r="AL107" s="269"/>
      <c r="AM107" s="479"/>
      <c r="AN107" s="479"/>
      <c r="AO107" s="479"/>
      <c r="AP107" s="479"/>
      <c r="AQ107" s="479"/>
    </row>
    <row r="108" spans="2:43" s="483" customFormat="1">
      <c r="B108" s="484"/>
      <c r="C108" s="485"/>
      <c r="D108" s="485"/>
      <c r="E108" s="485"/>
      <c r="F108" s="485"/>
      <c r="G108" s="485"/>
      <c r="H108" s="485"/>
      <c r="I108" s="485"/>
      <c r="J108" s="485"/>
      <c r="K108" s="485"/>
      <c r="L108" s="485"/>
      <c r="M108" s="485"/>
      <c r="N108" s="485"/>
      <c r="O108" s="485"/>
      <c r="P108" s="485"/>
      <c r="Q108" s="485"/>
      <c r="R108" s="485"/>
      <c r="S108" s="485"/>
      <c r="T108" s="485"/>
      <c r="U108" s="485"/>
      <c r="V108" s="485"/>
      <c r="W108" s="485"/>
      <c r="X108" s="485"/>
      <c r="Y108" s="485"/>
      <c r="Z108" s="485"/>
      <c r="AA108" s="485"/>
      <c r="AB108" s="485"/>
      <c r="AC108" s="485"/>
      <c r="AD108" s="485"/>
      <c r="AE108" s="485"/>
      <c r="AF108" s="485"/>
      <c r="AG108" s="485"/>
      <c r="AH108" s="485"/>
      <c r="AI108" s="485"/>
      <c r="AJ108" s="485"/>
      <c r="AK108" s="485"/>
      <c r="AL108" s="485"/>
      <c r="AM108" s="486"/>
      <c r="AN108" s="486"/>
      <c r="AO108" s="486"/>
      <c r="AP108" s="486"/>
      <c r="AQ108" s="486"/>
    </row>
    <row r="109" spans="2:43" s="476" customFormat="1" ht="12">
      <c r="B109" s="480"/>
      <c r="C109" s="481"/>
      <c r="D109" s="481"/>
      <c r="E109" s="481"/>
      <c r="F109" s="481"/>
      <c r="G109" s="481"/>
      <c r="H109" s="481"/>
      <c r="I109" s="481"/>
      <c r="J109" s="481"/>
      <c r="K109" s="481"/>
      <c r="L109" s="481"/>
      <c r="M109" s="481"/>
      <c r="N109" s="481"/>
      <c r="O109" s="481"/>
      <c r="P109" s="481"/>
      <c r="Q109" s="481"/>
      <c r="R109" s="481"/>
      <c r="S109" s="481"/>
      <c r="T109" s="481"/>
      <c r="U109" s="481"/>
      <c r="V109" s="481"/>
      <c r="W109" s="481"/>
      <c r="X109" s="481"/>
      <c r="Y109" s="481"/>
      <c r="Z109" s="481"/>
      <c r="AA109" s="481"/>
      <c r="AB109" s="481"/>
      <c r="AC109" s="481"/>
      <c r="AD109" s="481"/>
      <c r="AE109" s="481"/>
      <c r="AF109" s="481"/>
      <c r="AG109" s="481"/>
      <c r="AH109" s="481"/>
      <c r="AI109" s="481"/>
      <c r="AJ109" s="481"/>
      <c r="AK109" s="481"/>
      <c r="AL109" s="481"/>
      <c r="AM109" s="479"/>
      <c r="AN109" s="479"/>
      <c r="AO109" s="479"/>
      <c r="AP109" s="479"/>
      <c r="AQ109" s="479"/>
    </row>
    <row r="110" spans="2:43" s="476" customFormat="1" ht="12">
      <c r="B110" s="480"/>
      <c r="C110" s="481"/>
      <c r="D110" s="481"/>
      <c r="E110" s="481"/>
      <c r="F110" s="481"/>
      <c r="G110" s="481"/>
      <c r="H110" s="481"/>
      <c r="I110" s="481"/>
      <c r="J110" s="481"/>
      <c r="K110" s="481"/>
      <c r="L110" s="481"/>
      <c r="M110" s="481"/>
      <c r="N110" s="481"/>
      <c r="O110" s="481"/>
      <c r="P110" s="481"/>
      <c r="Q110" s="481"/>
      <c r="R110" s="481"/>
      <c r="S110" s="481"/>
      <c r="T110" s="481"/>
      <c r="U110" s="481"/>
      <c r="V110" s="481"/>
      <c r="W110" s="481"/>
      <c r="X110" s="481"/>
      <c r="Y110" s="481"/>
      <c r="Z110" s="481"/>
      <c r="AA110" s="481"/>
      <c r="AB110" s="481"/>
      <c r="AC110" s="481"/>
      <c r="AD110" s="481"/>
      <c r="AE110" s="481"/>
      <c r="AF110" s="481"/>
      <c r="AG110" s="481"/>
      <c r="AH110" s="481"/>
      <c r="AI110" s="481"/>
      <c r="AJ110" s="481"/>
      <c r="AK110" s="481"/>
      <c r="AL110" s="481"/>
      <c r="AM110" s="479"/>
      <c r="AN110" s="479"/>
      <c r="AO110" s="479"/>
      <c r="AP110" s="479"/>
      <c r="AQ110" s="479"/>
    </row>
    <row r="111" spans="2:43" s="476" customFormat="1" ht="12">
      <c r="B111" s="480"/>
      <c r="C111" s="481"/>
      <c r="D111" s="481"/>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481"/>
      <c r="AE111" s="481"/>
      <c r="AF111" s="481"/>
      <c r="AG111" s="481"/>
      <c r="AH111" s="481"/>
      <c r="AI111" s="481"/>
      <c r="AJ111" s="481"/>
      <c r="AK111" s="481"/>
      <c r="AL111" s="481"/>
      <c r="AM111" s="479"/>
      <c r="AN111" s="479"/>
      <c r="AO111" s="479"/>
      <c r="AP111" s="479"/>
      <c r="AQ111" s="479"/>
    </row>
    <row r="112" spans="2:43" s="476" customFormat="1" ht="12">
      <c r="B112" s="480"/>
      <c r="C112" s="481"/>
      <c r="D112" s="481"/>
      <c r="E112" s="481"/>
      <c r="F112" s="481"/>
      <c r="G112" s="481"/>
      <c r="H112" s="481"/>
      <c r="I112" s="481"/>
      <c r="J112" s="481"/>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481"/>
      <c r="AI112" s="481"/>
      <c r="AJ112" s="481"/>
      <c r="AK112" s="481"/>
      <c r="AL112" s="481"/>
      <c r="AM112" s="479"/>
      <c r="AN112" s="479"/>
      <c r="AO112" s="479"/>
      <c r="AP112" s="479"/>
      <c r="AQ112" s="479"/>
    </row>
    <row r="113" spans="2:43">
      <c r="B113" s="480"/>
      <c r="C113" s="269"/>
      <c r="D113" s="269"/>
      <c r="E113" s="269"/>
      <c r="F113" s="269"/>
      <c r="G113" s="269"/>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c r="AI113" s="269"/>
      <c r="AJ113" s="269"/>
      <c r="AK113" s="269"/>
      <c r="AL113" s="269"/>
      <c r="AM113" s="479"/>
      <c r="AN113" s="479"/>
      <c r="AO113" s="479"/>
      <c r="AP113" s="479"/>
      <c r="AQ113" s="479"/>
    </row>
    <row r="114" spans="2:43">
      <c r="C114" s="478"/>
      <c r="D114" s="478"/>
      <c r="E114" s="478"/>
      <c r="F114" s="478"/>
      <c r="G114" s="478"/>
      <c r="H114" s="478"/>
      <c r="I114" s="478"/>
      <c r="J114" s="478"/>
      <c r="K114" s="478"/>
      <c r="L114" s="478"/>
      <c r="M114" s="478"/>
      <c r="N114" s="478"/>
      <c r="O114" s="478"/>
      <c r="P114" s="478"/>
      <c r="Q114" s="478"/>
      <c r="R114" s="478"/>
      <c r="S114" s="478"/>
      <c r="T114" s="478"/>
      <c r="U114" s="478"/>
      <c r="V114" s="478"/>
      <c r="W114" s="478"/>
      <c r="X114" s="478"/>
      <c r="Y114" s="478"/>
      <c r="Z114" s="478"/>
      <c r="AA114" s="478"/>
      <c r="AB114" s="478"/>
      <c r="AC114" s="478"/>
      <c r="AD114" s="478"/>
      <c r="AE114" s="478"/>
      <c r="AF114" s="478"/>
      <c r="AG114" s="478"/>
      <c r="AH114" s="478"/>
      <c r="AI114" s="478"/>
      <c r="AJ114" s="478"/>
      <c r="AK114" s="478"/>
      <c r="AL114" s="478"/>
      <c r="AM114" s="479"/>
      <c r="AN114" s="479"/>
      <c r="AO114" s="479"/>
      <c r="AP114" s="479"/>
      <c r="AQ114" s="479"/>
    </row>
    <row r="115" spans="2:43">
      <c r="C115" s="478"/>
      <c r="D115" s="478"/>
      <c r="E115" s="478"/>
      <c r="F115" s="478"/>
      <c r="G115" s="478"/>
      <c r="H115" s="478"/>
      <c r="I115" s="478"/>
      <c r="J115" s="478"/>
      <c r="K115" s="478"/>
      <c r="L115" s="478"/>
      <c r="M115" s="478"/>
      <c r="N115" s="478"/>
      <c r="O115" s="478"/>
      <c r="P115" s="478"/>
      <c r="Q115" s="478"/>
      <c r="R115" s="478"/>
      <c r="S115" s="478"/>
      <c r="T115" s="478"/>
      <c r="U115" s="478"/>
      <c r="V115" s="478"/>
      <c r="W115" s="478"/>
      <c r="X115" s="478"/>
      <c r="Y115" s="478"/>
      <c r="Z115" s="478"/>
      <c r="AA115" s="478"/>
      <c r="AB115" s="478"/>
      <c r="AC115" s="478"/>
      <c r="AD115" s="478"/>
      <c r="AE115" s="478"/>
      <c r="AF115" s="478"/>
      <c r="AG115" s="478"/>
      <c r="AH115" s="478"/>
      <c r="AI115" s="478"/>
      <c r="AJ115" s="478"/>
      <c r="AK115" s="478"/>
      <c r="AL115" s="478"/>
      <c r="AM115" s="479"/>
      <c r="AN115" s="479"/>
      <c r="AO115" s="479"/>
      <c r="AP115" s="479"/>
      <c r="AQ115" s="479"/>
    </row>
    <row r="116" spans="2:43">
      <c r="AM116" s="479"/>
      <c r="AN116" s="479"/>
      <c r="AO116" s="479"/>
      <c r="AP116" s="479"/>
      <c r="AQ116" s="479"/>
    </row>
    <row r="117" spans="2:43">
      <c r="C117" s="478"/>
      <c r="D117" s="478"/>
      <c r="E117" s="478"/>
      <c r="F117" s="478"/>
      <c r="H117" s="478"/>
      <c r="I117" s="478"/>
      <c r="J117" s="478"/>
      <c r="K117" s="478"/>
      <c r="M117" s="478"/>
      <c r="N117" s="478"/>
      <c r="O117" s="478"/>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478"/>
      <c r="AK117" s="478"/>
      <c r="AL117" s="478"/>
      <c r="AM117" s="479"/>
      <c r="AN117" s="479"/>
      <c r="AO117" s="479"/>
      <c r="AP117" s="479"/>
      <c r="AQ117" s="479"/>
    </row>
    <row r="118" spans="2:43">
      <c r="C118" s="478"/>
      <c r="D118" s="478"/>
      <c r="E118" s="478"/>
      <c r="F118" s="478"/>
      <c r="H118" s="478"/>
      <c r="I118" s="478"/>
      <c r="J118" s="478"/>
      <c r="K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8"/>
      <c r="AI118" s="478"/>
      <c r="AJ118" s="478"/>
      <c r="AK118" s="478"/>
      <c r="AL118" s="478"/>
      <c r="AM118" s="479"/>
      <c r="AN118" s="479"/>
      <c r="AO118" s="479"/>
      <c r="AP118" s="479"/>
      <c r="AQ118" s="479"/>
    </row>
    <row r="119" spans="2:43">
      <c r="AM119" s="479"/>
      <c r="AN119" s="479"/>
      <c r="AO119" s="479"/>
      <c r="AP119" s="479"/>
      <c r="AQ119" s="479"/>
    </row>
    <row r="120" spans="2:43">
      <c r="C120" s="478"/>
      <c r="D120" s="478"/>
      <c r="E120" s="478"/>
      <c r="F120" s="478"/>
      <c r="G120" s="478"/>
      <c r="H120" s="478"/>
      <c r="I120" s="478"/>
      <c r="J120" s="478"/>
      <c r="K120" s="478"/>
      <c r="L120" s="478"/>
      <c r="M120" s="478"/>
      <c r="N120" s="478"/>
      <c r="O120" s="478"/>
      <c r="P120" s="478"/>
      <c r="Q120" s="478"/>
      <c r="R120" s="478"/>
      <c r="S120" s="478"/>
      <c r="T120" s="478"/>
      <c r="U120" s="478"/>
      <c r="V120" s="478"/>
      <c r="W120" s="478"/>
      <c r="X120" s="478"/>
      <c r="Y120" s="478"/>
      <c r="Z120" s="478"/>
      <c r="AA120" s="478"/>
      <c r="AB120" s="478"/>
      <c r="AC120" s="478"/>
      <c r="AD120" s="478"/>
      <c r="AE120" s="478"/>
      <c r="AF120" s="478"/>
      <c r="AG120" s="478"/>
      <c r="AH120" s="478"/>
      <c r="AI120" s="478"/>
      <c r="AJ120" s="478"/>
      <c r="AK120" s="478"/>
      <c r="AL120" s="478"/>
      <c r="AM120" s="479"/>
      <c r="AN120" s="479"/>
      <c r="AO120" s="479"/>
      <c r="AP120" s="479"/>
      <c r="AQ120" s="479"/>
    </row>
    <row r="121" spans="2:43">
      <c r="C121" s="478"/>
      <c r="D121" s="478"/>
      <c r="E121" s="478"/>
      <c r="F121" s="478"/>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478"/>
      <c r="AK121" s="478"/>
      <c r="AL121" s="478"/>
      <c r="AM121" s="479"/>
      <c r="AN121" s="479"/>
      <c r="AO121" s="479"/>
      <c r="AP121" s="479"/>
      <c r="AQ121" s="479"/>
    </row>
    <row r="122" spans="2:43">
      <c r="AM122" s="479"/>
      <c r="AN122" s="479"/>
      <c r="AO122" s="479"/>
      <c r="AP122" s="479"/>
      <c r="AQ122" s="479"/>
    </row>
    <row r="123" spans="2:43">
      <c r="C123" s="478"/>
      <c r="D123" s="478"/>
      <c r="E123" s="478"/>
      <c r="F123" s="478"/>
      <c r="G123" s="478"/>
      <c r="H123" s="478"/>
      <c r="I123" s="478"/>
      <c r="J123" s="478"/>
      <c r="K123" s="478"/>
      <c r="L123" s="478"/>
      <c r="M123" s="478"/>
      <c r="N123" s="478"/>
      <c r="O123" s="478"/>
      <c r="P123" s="478"/>
      <c r="Q123" s="478"/>
      <c r="R123" s="478"/>
      <c r="S123" s="478"/>
      <c r="T123" s="478"/>
      <c r="U123" s="478"/>
      <c r="V123" s="478"/>
      <c r="W123" s="478"/>
      <c r="X123" s="478"/>
      <c r="Y123" s="478"/>
      <c r="Z123" s="478"/>
      <c r="AA123" s="478"/>
      <c r="AB123" s="478"/>
      <c r="AC123" s="478"/>
      <c r="AD123" s="478"/>
      <c r="AE123" s="478"/>
      <c r="AF123" s="478"/>
      <c r="AG123" s="478"/>
      <c r="AH123" s="478"/>
      <c r="AI123" s="478"/>
      <c r="AJ123" s="478"/>
      <c r="AK123" s="478"/>
      <c r="AL123" s="478"/>
      <c r="AM123" s="479"/>
      <c r="AN123" s="479"/>
      <c r="AO123" s="479"/>
      <c r="AP123" s="479"/>
      <c r="AQ123" s="479"/>
    </row>
    <row r="124" spans="2:43">
      <c r="C124" s="478"/>
      <c r="D124" s="478"/>
      <c r="E124" s="478"/>
      <c r="F124" s="478"/>
      <c r="G124" s="478"/>
      <c r="H124" s="478"/>
      <c r="I124" s="478"/>
      <c r="J124" s="478"/>
      <c r="K124" s="478"/>
      <c r="L124" s="478"/>
      <c r="M124" s="478"/>
      <c r="N124" s="478"/>
      <c r="O124" s="478"/>
      <c r="P124" s="478"/>
      <c r="Q124" s="478"/>
      <c r="R124" s="478"/>
      <c r="S124" s="478"/>
      <c r="T124" s="478"/>
      <c r="U124" s="478"/>
      <c r="V124" s="478"/>
      <c r="W124" s="478"/>
      <c r="X124" s="478"/>
      <c r="Y124" s="478"/>
      <c r="Z124" s="478"/>
      <c r="AA124" s="478"/>
      <c r="AB124" s="478"/>
      <c r="AC124" s="478"/>
      <c r="AD124" s="478"/>
      <c r="AE124" s="478"/>
      <c r="AF124" s="478"/>
      <c r="AG124" s="478"/>
      <c r="AH124" s="478"/>
      <c r="AI124" s="478"/>
      <c r="AJ124" s="478"/>
      <c r="AK124" s="478"/>
      <c r="AL124" s="478"/>
      <c r="AM124" s="479"/>
      <c r="AN124" s="479"/>
      <c r="AO124" s="479"/>
      <c r="AP124" s="479"/>
      <c r="AQ124" s="479"/>
    </row>
    <row r="125" spans="2:43">
      <c r="C125" s="478"/>
      <c r="D125" s="478"/>
      <c r="E125" s="478"/>
      <c r="F125" s="478"/>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478"/>
      <c r="AK125" s="478"/>
      <c r="AL125" s="478"/>
      <c r="AM125" s="479"/>
      <c r="AN125" s="479"/>
      <c r="AO125" s="479"/>
      <c r="AP125" s="479"/>
      <c r="AQ125" s="479"/>
    </row>
    <row r="126" spans="2:43">
      <c r="AM126" s="479"/>
      <c r="AN126" s="479"/>
      <c r="AO126" s="479"/>
      <c r="AP126" s="479"/>
      <c r="AQ126" s="479"/>
    </row>
    <row r="127" spans="2:43">
      <c r="C127" s="478"/>
      <c r="D127" s="478"/>
      <c r="E127" s="478"/>
      <c r="F127" s="478"/>
      <c r="G127" s="478"/>
      <c r="H127" s="478"/>
      <c r="I127" s="478"/>
      <c r="J127" s="478"/>
      <c r="K127" s="478"/>
      <c r="L127" s="478"/>
      <c r="M127" s="478"/>
      <c r="N127" s="478"/>
      <c r="O127" s="478"/>
      <c r="P127" s="478"/>
      <c r="Q127" s="478"/>
      <c r="R127" s="478"/>
      <c r="S127" s="478"/>
      <c r="T127" s="478"/>
      <c r="U127" s="478"/>
      <c r="V127" s="478"/>
      <c r="W127" s="478"/>
      <c r="X127" s="478"/>
      <c r="Y127" s="478"/>
      <c r="Z127" s="478"/>
      <c r="AA127" s="478"/>
      <c r="AB127" s="478"/>
      <c r="AC127" s="478"/>
      <c r="AD127" s="478"/>
      <c r="AE127" s="478"/>
      <c r="AF127" s="478"/>
      <c r="AG127" s="478"/>
      <c r="AH127" s="478"/>
      <c r="AI127" s="478"/>
      <c r="AJ127" s="478"/>
      <c r="AK127" s="478"/>
      <c r="AL127" s="478"/>
      <c r="AM127" s="479"/>
      <c r="AN127" s="479"/>
      <c r="AO127" s="479"/>
      <c r="AP127" s="479"/>
      <c r="AQ127" s="479"/>
    </row>
    <row r="128" spans="2:43">
      <c r="C128" s="478"/>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478"/>
      <c r="AG128" s="478"/>
      <c r="AH128" s="478"/>
      <c r="AI128" s="478"/>
      <c r="AJ128" s="478"/>
      <c r="AK128" s="478"/>
      <c r="AL128" s="478"/>
      <c r="AM128" s="479"/>
      <c r="AN128" s="479"/>
      <c r="AO128" s="479"/>
      <c r="AP128" s="479"/>
      <c r="AQ128" s="479"/>
    </row>
    <row r="129" spans="2:43">
      <c r="C129" s="478"/>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478"/>
      <c r="Z129" s="478"/>
      <c r="AA129" s="478"/>
      <c r="AB129" s="478"/>
      <c r="AC129" s="478"/>
      <c r="AD129" s="478"/>
      <c r="AE129" s="478"/>
      <c r="AF129" s="478"/>
      <c r="AG129" s="478"/>
      <c r="AH129" s="478"/>
      <c r="AI129" s="478"/>
      <c r="AJ129" s="478"/>
      <c r="AK129" s="478"/>
      <c r="AL129" s="478"/>
      <c r="AM129" s="479"/>
      <c r="AN129" s="479"/>
      <c r="AO129" s="479"/>
      <c r="AP129" s="479"/>
      <c r="AQ129" s="479"/>
    </row>
    <row r="130" spans="2:43">
      <c r="C130" s="478"/>
      <c r="D130" s="478"/>
      <c r="E130" s="478"/>
      <c r="F130" s="478"/>
      <c r="G130" s="478"/>
      <c r="H130" s="478"/>
      <c r="I130" s="478"/>
      <c r="J130" s="478"/>
      <c r="K130" s="478"/>
      <c r="L130" s="478"/>
      <c r="M130" s="478"/>
      <c r="N130" s="478"/>
      <c r="O130" s="478"/>
      <c r="P130" s="478"/>
      <c r="Q130" s="478"/>
      <c r="R130" s="478"/>
      <c r="S130" s="478"/>
      <c r="T130" s="478"/>
      <c r="U130" s="478"/>
      <c r="V130" s="478"/>
      <c r="W130" s="478"/>
      <c r="X130" s="478"/>
      <c r="Y130" s="478"/>
      <c r="Z130" s="478"/>
      <c r="AA130" s="478"/>
      <c r="AB130" s="478"/>
      <c r="AC130" s="478"/>
      <c r="AD130" s="478"/>
      <c r="AE130" s="478"/>
      <c r="AF130" s="478"/>
      <c r="AG130" s="478"/>
      <c r="AH130" s="478"/>
      <c r="AI130" s="478"/>
      <c r="AJ130" s="478"/>
      <c r="AK130" s="478"/>
      <c r="AL130" s="478"/>
      <c r="AM130" s="479"/>
      <c r="AN130" s="479"/>
      <c r="AO130" s="479"/>
      <c r="AP130" s="479"/>
      <c r="AQ130" s="479"/>
    </row>
    <row r="131" spans="2:43">
      <c r="C131" s="478"/>
      <c r="D131" s="478"/>
      <c r="E131" s="478"/>
      <c r="F131" s="478"/>
      <c r="G131" s="478"/>
      <c r="H131" s="478"/>
      <c r="I131" s="478"/>
      <c r="J131" s="478"/>
      <c r="K131" s="478"/>
      <c r="L131" s="478"/>
      <c r="M131" s="478"/>
      <c r="N131" s="478"/>
      <c r="O131" s="478"/>
      <c r="P131" s="478"/>
      <c r="Q131" s="478"/>
      <c r="R131" s="478"/>
      <c r="S131" s="478"/>
      <c r="T131" s="478"/>
      <c r="U131" s="478"/>
      <c r="V131" s="478"/>
      <c r="W131" s="478"/>
      <c r="X131" s="478"/>
      <c r="Y131" s="478"/>
      <c r="Z131" s="478"/>
      <c r="AA131" s="478"/>
      <c r="AB131" s="478"/>
      <c r="AC131" s="478"/>
      <c r="AD131" s="478"/>
      <c r="AE131" s="478"/>
      <c r="AF131" s="478"/>
      <c r="AG131" s="478"/>
      <c r="AH131" s="478"/>
      <c r="AI131" s="478"/>
      <c r="AJ131" s="478"/>
      <c r="AK131" s="478"/>
      <c r="AL131" s="478"/>
      <c r="AM131" s="479"/>
      <c r="AN131" s="479"/>
      <c r="AO131" s="479"/>
      <c r="AP131" s="479"/>
      <c r="AQ131" s="479"/>
    </row>
    <row r="132" spans="2:43">
      <c r="C132" s="478"/>
      <c r="D132" s="478"/>
      <c r="E132" s="478"/>
      <c r="F132" s="478"/>
      <c r="G132" s="478"/>
      <c r="H132" s="478"/>
      <c r="I132" s="478"/>
      <c r="J132" s="478"/>
      <c r="K132" s="478"/>
      <c r="L132" s="478"/>
      <c r="M132" s="478"/>
      <c r="N132" s="478"/>
      <c r="O132" s="478"/>
      <c r="P132" s="478"/>
      <c r="Q132" s="478"/>
      <c r="R132" s="478"/>
      <c r="S132" s="478"/>
      <c r="T132" s="478"/>
      <c r="U132" s="478"/>
      <c r="V132" s="478"/>
      <c r="W132" s="478"/>
      <c r="X132" s="478"/>
      <c r="Y132" s="478"/>
      <c r="Z132" s="478"/>
      <c r="AA132" s="478"/>
      <c r="AB132" s="478"/>
      <c r="AC132" s="478"/>
      <c r="AD132" s="478"/>
      <c r="AE132" s="478"/>
      <c r="AF132" s="478"/>
      <c r="AG132" s="478"/>
      <c r="AH132" s="478"/>
      <c r="AI132" s="478"/>
      <c r="AJ132" s="478"/>
      <c r="AK132" s="478"/>
      <c r="AL132" s="478"/>
      <c r="AM132" s="479"/>
      <c r="AN132" s="479"/>
      <c r="AO132" s="479"/>
      <c r="AP132" s="479"/>
      <c r="AQ132" s="479"/>
    </row>
    <row r="133" spans="2:43">
      <c r="C133" s="478"/>
      <c r="D133" s="478"/>
      <c r="E133" s="478"/>
      <c r="F133" s="478"/>
      <c r="G133" s="478"/>
      <c r="H133" s="478"/>
      <c r="I133" s="478"/>
      <c r="J133" s="478"/>
      <c r="K133" s="478"/>
      <c r="L133" s="478"/>
      <c r="M133" s="478"/>
      <c r="N133" s="478"/>
      <c r="O133" s="478"/>
      <c r="P133" s="478"/>
      <c r="Q133" s="478"/>
      <c r="R133" s="478"/>
      <c r="S133" s="478"/>
      <c r="T133" s="478"/>
      <c r="U133" s="478"/>
      <c r="V133" s="478"/>
      <c r="W133" s="478"/>
      <c r="X133" s="478"/>
      <c r="Y133" s="478"/>
      <c r="Z133" s="478"/>
      <c r="AA133" s="478"/>
      <c r="AB133" s="478"/>
      <c r="AC133" s="478"/>
      <c r="AD133" s="478"/>
      <c r="AE133" s="478"/>
      <c r="AF133" s="478"/>
      <c r="AG133" s="478"/>
      <c r="AH133" s="478"/>
      <c r="AI133" s="478"/>
      <c r="AJ133" s="478"/>
      <c r="AK133" s="478"/>
      <c r="AL133" s="478"/>
      <c r="AM133" s="479"/>
      <c r="AN133" s="479"/>
      <c r="AO133" s="479"/>
      <c r="AP133" s="479"/>
      <c r="AQ133" s="479"/>
    </row>
    <row r="134" spans="2:43">
      <c r="C134" s="478"/>
      <c r="D134" s="478"/>
      <c r="E134" s="478"/>
      <c r="F134" s="478"/>
      <c r="G134" s="478"/>
      <c r="H134" s="478"/>
      <c r="I134" s="478"/>
      <c r="J134" s="478"/>
      <c r="K134" s="478"/>
      <c r="L134" s="478"/>
      <c r="M134" s="478"/>
      <c r="N134" s="478"/>
      <c r="O134" s="478"/>
      <c r="P134" s="478"/>
      <c r="Q134" s="478"/>
      <c r="R134" s="478"/>
      <c r="S134" s="478"/>
      <c r="T134" s="478"/>
      <c r="U134" s="478"/>
      <c r="V134" s="478"/>
      <c r="W134" s="478"/>
      <c r="X134" s="478"/>
      <c r="Y134" s="478"/>
      <c r="Z134" s="478"/>
      <c r="AA134" s="478"/>
      <c r="AB134" s="478"/>
      <c r="AC134" s="478"/>
      <c r="AD134" s="478"/>
      <c r="AE134" s="478"/>
      <c r="AF134" s="478"/>
      <c r="AG134" s="478"/>
      <c r="AH134" s="478"/>
      <c r="AI134" s="478"/>
      <c r="AJ134" s="478"/>
      <c r="AK134" s="478"/>
      <c r="AL134" s="478"/>
      <c r="AM134" s="479"/>
      <c r="AN134" s="479"/>
      <c r="AO134" s="479"/>
      <c r="AP134" s="479"/>
      <c r="AQ134" s="479"/>
    </row>
    <row r="135" spans="2:43">
      <c r="C135" s="478"/>
      <c r="D135" s="478"/>
      <c r="E135" s="478"/>
      <c r="F135" s="478"/>
      <c r="G135" s="478"/>
      <c r="H135" s="478"/>
      <c r="I135" s="478"/>
      <c r="J135" s="478"/>
      <c r="K135" s="478"/>
      <c r="L135" s="478"/>
      <c r="M135" s="478"/>
      <c r="N135" s="478"/>
      <c r="O135" s="478"/>
      <c r="P135" s="478"/>
      <c r="Q135" s="478"/>
      <c r="R135" s="478"/>
      <c r="S135" s="478"/>
      <c r="T135" s="478"/>
      <c r="U135" s="478"/>
      <c r="V135" s="478"/>
      <c r="W135" s="478"/>
      <c r="X135" s="478"/>
      <c r="Y135" s="478"/>
      <c r="Z135" s="478"/>
      <c r="AA135" s="478"/>
      <c r="AB135" s="478"/>
      <c r="AC135" s="478"/>
      <c r="AD135" s="478"/>
      <c r="AE135" s="478"/>
      <c r="AF135" s="478"/>
      <c r="AG135" s="478"/>
      <c r="AH135" s="478"/>
      <c r="AI135" s="478"/>
      <c r="AJ135" s="478"/>
      <c r="AK135" s="478"/>
      <c r="AL135" s="478"/>
      <c r="AM135" s="479"/>
      <c r="AN135" s="479"/>
      <c r="AO135" s="479"/>
      <c r="AP135" s="479"/>
      <c r="AQ135" s="479"/>
    </row>
    <row r="136" spans="2:43">
      <c r="C136" s="478"/>
      <c r="D136" s="478"/>
      <c r="E136" s="478"/>
      <c r="F136" s="478"/>
      <c r="G136" s="478"/>
      <c r="H136" s="478"/>
      <c r="I136" s="478"/>
      <c r="J136" s="478"/>
      <c r="K136" s="478"/>
      <c r="L136" s="478"/>
      <c r="M136" s="478"/>
      <c r="N136" s="478"/>
      <c r="O136" s="478"/>
      <c r="P136" s="478"/>
      <c r="Q136" s="478"/>
      <c r="R136" s="478"/>
      <c r="S136" s="478"/>
      <c r="T136" s="478"/>
      <c r="U136" s="478"/>
      <c r="V136" s="478"/>
      <c r="W136" s="478"/>
      <c r="X136" s="478"/>
      <c r="Y136" s="478"/>
      <c r="Z136" s="478"/>
      <c r="AA136" s="478"/>
      <c r="AB136" s="478"/>
      <c r="AC136" s="478"/>
      <c r="AD136" s="478"/>
      <c r="AE136" s="478"/>
      <c r="AF136" s="478"/>
      <c r="AG136" s="478"/>
      <c r="AH136" s="478"/>
      <c r="AI136" s="478"/>
      <c r="AJ136" s="478"/>
      <c r="AK136" s="478"/>
      <c r="AL136" s="478"/>
      <c r="AM136" s="479"/>
      <c r="AN136" s="479"/>
      <c r="AO136" s="479"/>
      <c r="AP136" s="479"/>
      <c r="AQ136" s="479"/>
    </row>
    <row r="137" spans="2:43">
      <c r="C137" s="478"/>
      <c r="D137" s="478"/>
      <c r="E137" s="478"/>
      <c r="F137" s="478"/>
      <c r="G137" s="478"/>
      <c r="H137" s="478"/>
      <c r="I137" s="478"/>
      <c r="J137" s="478"/>
      <c r="K137" s="478"/>
      <c r="L137" s="478"/>
      <c r="M137" s="478"/>
      <c r="N137" s="478"/>
      <c r="O137" s="478"/>
      <c r="P137" s="478"/>
      <c r="Q137" s="478"/>
      <c r="R137" s="478"/>
      <c r="S137" s="478"/>
      <c r="T137" s="478"/>
      <c r="U137" s="478"/>
      <c r="V137" s="478"/>
      <c r="W137" s="478"/>
      <c r="X137" s="478"/>
      <c r="Y137" s="478"/>
      <c r="Z137" s="478"/>
      <c r="AA137" s="478"/>
      <c r="AB137" s="478"/>
      <c r="AC137" s="478"/>
      <c r="AD137" s="478"/>
      <c r="AE137" s="478"/>
      <c r="AF137" s="478"/>
      <c r="AG137" s="478"/>
      <c r="AH137" s="478"/>
      <c r="AI137" s="478"/>
      <c r="AJ137" s="478"/>
      <c r="AK137" s="478"/>
      <c r="AL137" s="478"/>
      <c r="AM137" s="479"/>
      <c r="AN137" s="479"/>
      <c r="AO137" s="479"/>
      <c r="AP137" s="479"/>
      <c r="AQ137" s="479"/>
    </row>
    <row r="138" spans="2:43">
      <c r="B138" s="487"/>
      <c r="C138" s="482"/>
      <c r="D138" s="482"/>
      <c r="E138" s="482"/>
      <c r="F138" s="482"/>
      <c r="G138" s="482"/>
      <c r="H138" s="482"/>
      <c r="I138" s="482"/>
      <c r="J138" s="482"/>
      <c r="K138" s="482"/>
      <c r="L138" s="482"/>
      <c r="M138" s="482"/>
      <c r="N138" s="482"/>
      <c r="O138" s="482"/>
      <c r="P138" s="482"/>
      <c r="Q138" s="482"/>
      <c r="R138" s="482"/>
      <c r="S138" s="482"/>
      <c r="T138" s="482"/>
      <c r="U138" s="482"/>
      <c r="V138" s="482"/>
      <c r="W138" s="482"/>
      <c r="X138" s="482"/>
      <c r="Y138" s="482"/>
      <c r="Z138" s="482"/>
      <c r="AA138" s="482"/>
      <c r="AB138" s="482"/>
      <c r="AC138" s="482"/>
      <c r="AD138" s="482"/>
      <c r="AE138" s="482"/>
      <c r="AF138" s="482"/>
      <c r="AG138" s="482"/>
      <c r="AH138" s="482"/>
      <c r="AI138" s="482"/>
      <c r="AJ138" s="482"/>
      <c r="AK138" s="482"/>
      <c r="AL138" s="482"/>
    </row>
    <row r="139" spans="2:43">
      <c r="C139" s="482"/>
      <c r="D139" s="482"/>
      <c r="E139" s="482"/>
      <c r="F139" s="482"/>
      <c r="G139" s="482"/>
      <c r="H139" s="482"/>
      <c r="I139" s="482"/>
      <c r="J139" s="482"/>
      <c r="K139" s="482"/>
      <c r="L139" s="482"/>
      <c r="M139" s="482"/>
      <c r="N139" s="482"/>
      <c r="O139" s="482"/>
      <c r="P139" s="482"/>
      <c r="Q139" s="482"/>
      <c r="R139" s="482"/>
      <c r="S139" s="482"/>
      <c r="T139" s="482"/>
      <c r="U139" s="482"/>
      <c r="V139" s="482"/>
      <c r="W139" s="482"/>
      <c r="X139" s="482"/>
      <c r="Y139" s="482"/>
      <c r="Z139" s="482"/>
      <c r="AA139" s="482"/>
      <c r="AB139" s="482"/>
      <c r="AC139" s="482"/>
      <c r="AD139" s="482"/>
      <c r="AE139" s="482"/>
      <c r="AF139" s="482"/>
      <c r="AG139" s="482"/>
      <c r="AH139" s="482"/>
      <c r="AI139" s="482"/>
      <c r="AJ139" s="482"/>
      <c r="AK139" s="482"/>
      <c r="AL139" s="482"/>
    </row>
    <row r="140" spans="2:43">
      <c r="C140" s="482"/>
      <c r="D140" s="482"/>
      <c r="E140" s="482"/>
      <c r="F140" s="482"/>
      <c r="G140" s="482"/>
      <c r="H140" s="482"/>
      <c r="I140" s="482"/>
      <c r="J140" s="482"/>
      <c r="K140" s="482"/>
      <c r="L140" s="482"/>
      <c r="M140" s="482"/>
      <c r="N140" s="482"/>
      <c r="O140" s="482"/>
      <c r="P140" s="482"/>
      <c r="Q140" s="482"/>
      <c r="R140" s="482"/>
      <c r="S140" s="482"/>
      <c r="T140" s="482"/>
      <c r="U140" s="482"/>
      <c r="V140" s="482"/>
      <c r="W140" s="482"/>
      <c r="X140" s="482"/>
      <c r="Y140" s="482"/>
      <c r="Z140" s="482"/>
      <c r="AA140" s="482"/>
      <c r="AB140" s="482"/>
      <c r="AC140" s="482"/>
      <c r="AD140" s="482"/>
      <c r="AE140" s="482"/>
      <c r="AF140" s="482"/>
      <c r="AG140" s="482"/>
      <c r="AH140" s="482"/>
      <c r="AI140" s="482"/>
      <c r="AJ140" s="482"/>
      <c r="AK140" s="482"/>
      <c r="AL140" s="482"/>
    </row>
    <row r="141" spans="2:43">
      <c r="B141" s="480"/>
      <c r="C141" s="482"/>
      <c r="D141" s="482"/>
      <c r="E141" s="482"/>
      <c r="F141" s="482"/>
      <c r="G141" s="482"/>
      <c r="H141" s="482"/>
      <c r="I141" s="482"/>
      <c r="J141" s="482"/>
      <c r="K141" s="482"/>
      <c r="L141" s="482"/>
      <c r="M141" s="482"/>
      <c r="N141" s="482"/>
      <c r="O141" s="482"/>
      <c r="P141" s="482"/>
      <c r="Q141" s="482"/>
      <c r="R141" s="482"/>
      <c r="S141" s="482"/>
      <c r="T141" s="482"/>
      <c r="U141" s="482"/>
      <c r="V141" s="482"/>
      <c r="W141" s="482"/>
      <c r="X141" s="482"/>
      <c r="Y141" s="482"/>
      <c r="Z141" s="482"/>
      <c r="AA141" s="482"/>
      <c r="AB141" s="482"/>
      <c r="AC141" s="482"/>
      <c r="AD141" s="482"/>
      <c r="AE141" s="482"/>
      <c r="AF141" s="482"/>
      <c r="AG141" s="482"/>
      <c r="AH141" s="482"/>
      <c r="AI141" s="482"/>
      <c r="AJ141" s="482"/>
      <c r="AK141" s="482"/>
      <c r="AL141" s="482"/>
    </row>
    <row r="142" spans="2:43">
      <c r="B142" s="480"/>
      <c r="C142" s="482"/>
      <c r="D142" s="482"/>
      <c r="E142" s="482"/>
      <c r="F142" s="482"/>
      <c r="G142" s="482"/>
      <c r="H142" s="482"/>
      <c r="I142" s="482"/>
      <c r="J142" s="482"/>
      <c r="K142" s="482"/>
      <c r="L142" s="482"/>
      <c r="M142" s="482"/>
      <c r="N142" s="482"/>
      <c r="O142" s="482"/>
      <c r="P142" s="482"/>
      <c r="Q142" s="482"/>
      <c r="R142" s="482"/>
      <c r="S142" s="482"/>
      <c r="T142" s="482"/>
      <c r="U142" s="482"/>
      <c r="V142" s="482"/>
      <c r="W142" s="482"/>
      <c r="X142" s="482"/>
      <c r="Y142" s="482"/>
      <c r="Z142" s="482"/>
      <c r="AA142" s="482"/>
      <c r="AB142" s="482"/>
      <c r="AC142" s="482"/>
      <c r="AD142" s="482"/>
      <c r="AE142" s="482"/>
      <c r="AF142" s="482"/>
      <c r="AG142" s="482"/>
      <c r="AH142" s="482"/>
      <c r="AI142" s="482"/>
      <c r="AJ142" s="482"/>
      <c r="AK142" s="482"/>
      <c r="AL142" s="482"/>
    </row>
    <row r="143" spans="2:43">
      <c r="B143" s="480"/>
      <c r="C143" s="482"/>
      <c r="D143" s="482"/>
      <c r="E143" s="482"/>
      <c r="F143" s="482"/>
      <c r="G143" s="482"/>
      <c r="H143" s="482"/>
      <c r="I143" s="482"/>
      <c r="J143" s="482"/>
      <c r="K143" s="482"/>
      <c r="L143" s="482"/>
      <c r="M143" s="482"/>
      <c r="N143" s="482"/>
      <c r="O143" s="482"/>
      <c r="P143" s="482"/>
      <c r="Q143" s="482"/>
      <c r="R143" s="482"/>
      <c r="S143" s="482"/>
      <c r="T143" s="482"/>
      <c r="U143" s="482"/>
      <c r="V143" s="482"/>
      <c r="W143" s="482"/>
      <c r="X143" s="482"/>
      <c r="Y143" s="482"/>
      <c r="Z143" s="482"/>
      <c r="AA143" s="482"/>
      <c r="AB143" s="482"/>
      <c r="AC143" s="482"/>
      <c r="AD143" s="482"/>
      <c r="AE143" s="482"/>
      <c r="AF143" s="482"/>
      <c r="AG143" s="482"/>
      <c r="AH143" s="482"/>
      <c r="AI143" s="482"/>
      <c r="AJ143" s="482"/>
      <c r="AK143" s="482"/>
      <c r="AL143" s="482"/>
    </row>
    <row r="144" spans="2:43">
      <c r="B144" s="480"/>
      <c r="C144" s="482"/>
      <c r="D144" s="482"/>
      <c r="E144" s="482"/>
      <c r="F144" s="482"/>
      <c r="G144" s="482"/>
      <c r="H144" s="482"/>
      <c r="I144" s="482"/>
      <c r="J144" s="482"/>
      <c r="K144" s="482"/>
      <c r="L144" s="482"/>
      <c r="M144" s="482"/>
      <c r="N144" s="482"/>
      <c r="O144" s="482"/>
      <c r="P144" s="482"/>
      <c r="Q144" s="482"/>
      <c r="R144" s="482"/>
      <c r="S144" s="482"/>
      <c r="T144" s="482"/>
      <c r="U144" s="482"/>
      <c r="V144" s="482"/>
      <c r="W144" s="482"/>
      <c r="X144" s="482"/>
      <c r="Y144" s="482"/>
      <c r="Z144" s="482"/>
      <c r="AA144" s="482"/>
      <c r="AB144" s="482"/>
      <c r="AC144" s="482"/>
      <c r="AD144" s="482"/>
      <c r="AE144" s="482"/>
      <c r="AF144" s="482"/>
      <c r="AG144" s="482"/>
      <c r="AH144" s="482"/>
      <c r="AI144" s="482"/>
      <c r="AJ144" s="482"/>
      <c r="AK144" s="482"/>
      <c r="AL144" s="482"/>
    </row>
  </sheetData>
  <mergeCells count="5">
    <mergeCell ref="B62:N62"/>
    <mergeCell ref="B61:N61"/>
    <mergeCell ref="B58:AK58"/>
    <mergeCell ref="B59:AK59"/>
    <mergeCell ref="B57:AI57"/>
  </mergeCells>
  <conditionalFormatting sqref="B68:AL68">
    <cfRule type="cellIs" dxfId="106" priority="9" operator="equal">
      <formula>FALSE</formula>
    </cfRule>
  </conditionalFormatting>
  <conditionalFormatting sqref="C117:F118 H117:K118">
    <cfRule type="containsText" dxfId="105" priority="193" stopIfTrue="1" operator="containsText" text="FAŁSZ">
      <formula>NOT(ISERROR(SEARCH("FAŁSZ",C117)))</formula>
    </cfRule>
  </conditionalFormatting>
  <conditionalFormatting sqref="C75:AL76">
    <cfRule type="containsText" dxfId="104" priority="18" stopIfTrue="1" operator="containsText" text="FAŁSZ">
      <formula>NOT(ISERROR(SEARCH("FAŁSZ",C75)))</formula>
    </cfRule>
  </conditionalFormatting>
  <conditionalFormatting sqref="C114:AL115">
    <cfRule type="containsText" dxfId="103" priority="17" stopIfTrue="1" operator="containsText" text="FAŁSZ">
      <formula>NOT(ISERROR(SEARCH("FAŁSZ",C114)))</formula>
    </cfRule>
  </conditionalFormatting>
  <conditionalFormatting sqref="C120:AL121">
    <cfRule type="containsText" dxfId="102" priority="14" stopIfTrue="1" operator="containsText" text="FAŁSZ">
      <formula>NOT(ISERROR(SEARCH("FAŁSZ",C120)))</formula>
    </cfRule>
  </conditionalFormatting>
  <conditionalFormatting sqref="C123:AL125">
    <cfRule type="containsText" dxfId="101" priority="24" stopIfTrue="1" operator="containsText" text="FAŁSZ">
      <formula>NOT(ISERROR(SEARCH("FAŁSZ",C123)))</formula>
    </cfRule>
  </conditionalFormatting>
  <conditionalFormatting sqref="C127:AL137">
    <cfRule type="containsText" dxfId="100" priority="11" stopIfTrue="1" operator="containsText" text="FAŁSZ">
      <formula>NOT(ISERROR(SEARCH("FAŁSZ",C127)))</formula>
    </cfRule>
  </conditionalFormatting>
  <conditionalFormatting sqref="G69:G73">
    <cfRule type="cellIs" dxfId="99" priority="7" operator="equal">
      <formula>FALSE</formula>
    </cfRule>
  </conditionalFormatting>
  <conditionalFormatting sqref="L69:L73">
    <cfRule type="cellIs" dxfId="98" priority="8" operator="equal">
      <formula>FALSE</formula>
    </cfRule>
  </conditionalFormatting>
  <conditionalFormatting sqref="M117:AL118">
    <cfRule type="containsText" dxfId="97" priority="15" stopIfTrue="1" operator="containsText" text="FAŁSZ">
      <formula>NOT(ISERROR(SEARCH("FAŁSZ",M117)))</formula>
    </cfRule>
  </conditionalFormatting>
  <conditionalFormatting sqref="Q69:Q73">
    <cfRule type="cellIs" dxfId="96" priority="6" operator="equal">
      <formula>FALSE</formula>
    </cfRule>
  </conditionalFormatting>
  <conditionalFormatting sqref="V69:V73">
    <cfRule type="cellIs" dxfId="95" priority="5" operator="equal">
      <formula>FALSE</formula>
    </cfRule>
  </conditionalFormatting>
  <conditionalFormatting sqref="AA69:AA73">
    <cfRule type="cellIs" dxfId="94" priority="4" operator="equal">
      <formula>FALSE</formula>
    </cfRule>
  </conditionalFormatting>
  <conditionalFormatting sqref="AF69:AF73">
    <cfRule type="cellIs" dxfId="93" priority="3" operator="equal">
      <formula>FALSE</formula>
    </cfRule>
  </conditionalFormatting>
  <conditionalFormatting sqref="AK69:AL73">
    <cfRule type="cellIs" dxfId="92" priority="1" operator="equal">
      <formula>FALSE</formula>
    </cfRule>
  </conditionalFormatting>
  <conditionalFormatting sqref="AM2:AM66">
    <cfRule type="cellIs" dxfId="91" priority="10" operator="equal">
      <formula>FALSE</formula>
    </cfRule>
  </conditionalFormatting>
  <printOptions horizontalCentered="1"/>
  <pageMargins left="0.70866141732283472" right="0.70866141732283472" top="0.74803149606299213" bottom="0.74803149606299213" header="0.31496062992125984" footer="0.31496062992125984"/>
  <pageSetup paperSize="9" scale="41" orientation="landscape" r:id="rId1"/>
  <ignoredErrors>
    <ignoredError sqref="Q50 Q51:Q54 Q6:Q35 Q39:Q41"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34998626667073579"/>
    <pageSetUpPr fitToPage="1"/>
  </sheetPr>
  <dimension ref="B1:AI150"/>
  <sheetViews>
    <sheetView showGridLines="0" view="pageBreakPreview" zoomScaleNormal="85" zoomScaleSheetLayoutView="100" workbookViewId="0">
      <pane xSplit="2" ySplit="5" topLeftCell="C6" activePane="bottomRight" state="frozen"/>
      <selection activeCell="B7" sqref="B7"/>
      <selection pane="topRight" activeCell="B7" sqref="B7"/>
      <selection pane="bottomLeft" activeCell="B7" sqref="B7"/>
      <selection pane="bottomRight"/>
    </sheetView>
  </sheetViews>
  <sheetFormatPr defaultColWidth="9.28515625" defaultRowHeight="12.75" outlineLevelRow="1" outlineLevelCol="1"/>
  <cols>
    <col min="1" max="1" width="1.28515625" style="268" customWidth="1"/>
    <col min="2" max="2" width="102.7109375" style="268" customWidth="1"/>
    <col min="3" max="3" width="16.42578125" style="268" hidden="1" customWidth="1" outlineLevel="1"/>
    <col min="4" max="4" width="13.7109375" style="268" hidden="1" customWidth="1" outlineLevel="1"/>
    <col min="5" max="6" width="9.7109375" style="268" hidden="1" customWidth="1" outlineLevel="1"/>
    <col min="7" max="7" width="9.7109375" style="268" customWidth="1" collapsed="1"/>
    <col min="8" max="11" width="9.7109375" style="268" hidden="1" customWidth="1" outlineLevel="1"/>
    <col min="12" max="12" width="9.7109375" style="268" customWidth="1" collapsed="1"/>
    <col min="13" max="16" width="9.7109375" style="268" hidden="1" customWidth="1" outlineLevel="1"/>
    <col min="17" max="17" width="9.7109375" style="268" customWidth="1" collapsed="1"/>
    <col min="18" max="21" width="9.7109375" style="268" hidden="1" customWidth="1" outlineLevel="1"/>
    <col min="22" max="22" width="9.7109375" style="268" customWidth="1" collapsed="1"/>
    <col min="23" max="26" width="9.7109375" style="268" hidden="1" customWidth="1" outlineLevel="1"/>
    <col min="27" max="27" width="9.7109375" style="268" customWidth="1" collapsed="1"/>
    <col min="28" max="31" width="9.7109375" style="268" hidden="1" customWidth="1" outlineLevel="1"/>
    <col min="32" max="32" width="9.7109375" style="268" customWidth="1" collapsed="1"/>
    <col min="33" max="33" width="10.28515625" style="482" bestFit="1" customWidth="1"/>
    <col min="34" max="16384" width="9.28515625" style="268"/>
  </cols>
  <sheetData>
    <row r="1" spans="2:35">
      <c r="F1" s="269"/>
      <c r="G1" s="269"/>
      <c r="K1" s="269"/>
      <c r="L1" s="269"/>
      <c r="P1" s="269"/>
      <c r="Q1" s="269"/>
      <c r="U1" s="269"/>
      <c r="V1" s="269"/>
      <c r="Z1" s="269"/>
      <c r="AA1" s="269"/>
      <c r="AE1" s="269"/>
      <c r="AF1" s="269"/>
    </row>
    <row r="2" spans="2:35" ht="15.75">
      <c r="B2" s="395" t="str">
        <f>names!$A250</f>
        <v>Kluczowe dane finansowe</v>
      </c>
      <c r="C2" s="269"/>
      <c r="D2" s="269"/>
      <c r="E2" s="269"/>
      <c r="H2" s="269"/>
      <c r="I2" s="269"/>
      <c r="J2" s="269"/>
      <c r="M2" s="269"/>
      <c r="N2" s="269"/>
      <c r="O2" s="269"/>
      <c r="R2" s="269"/>
      <c r="S2" s="269"/>
      <c r="T2" s="269"/>
      <c r="W2" s="269"/>
      <c r="X2" s="269"/>
      <c r="Y2" s="269"/>
      <c r="AB2" s="269"/>
      <c r="AC2" s="269"/>
      <c r="AD2" s="269"/>
    </row>
    <row r="3" spans="2:35" ht="10.15" customHeight="1">
      <c r="C3" s="477"/>
      <c r="D3" s="477"/>
      <c r="AG3" s="577"/>
    </row>
    <row r="4" spans="2:35" ht="42.75" customHeight="1">
      <c r="B4" s="270" t="str">
        <f>names!$A252</f>
        <v>Kluczowe dane finansowe
[mln PLN]</v>
      </c>
      <c r="C4" s="271" t="str">
        <f>names!$A392</f>
        <v>I kw.
2019*</v>
      </c>
      <c r="D4" s="271" t="str">
        <f>names!$A394</f>
        <v>II kw.
2019*</v>
      </c>
      <c r="E4" s="271" t="str">
        <f>names!$A396</f>
        <v>III kw.
2019*</v>
      </c>
      <c r="F4" s="271" t="str">
        <f>names!$A398</f>
        <v>IV kw.
2019*</v>
      </c>
      <c r="G4" s="271" t="str">
        <f>names!$A400</f>
        <v>12 m-cy
2019*</v>
      </c>
      <c r="H4" s="271" t="str">
        <f>names!$A402</f>
        <v>I kw.
2020*</v>
      </c>
      <c r="I4" s="271" t="str">
        <f>names!$A404</f>
        <v>II kw.
2020</v>
      </c>
      <c r="J4" s="271" t="str">
        <f>names!$A406</f>
        <v>III kw.
2020</v>
      </c>
      <c r="K4" s="271" t="str">
        <f>names!$A408</f>
        <v>IV kw.
2020</v>
      </c>
      <c r="L4" s="271" t="str">
        <f>names!$A153</f>
        <v>12 m-cy 2020</v>
      </c>
      <c r="M4" s="271" t="str">
        <f>names!$A154</f>
        <v>I kw. 
2021</v>
      </c>
      <c r="N4" s="271" t="str">
        <f>names!$A155</f>
        <v>II kw. 
2021</v>
      </c>
      <c r="O4" s="271" t="str">
        <f>names!$A156</f>
        <v>III kw. 
2021</v>
      </c>
      <c r="P4" s="271" t="str">
        <f>names!$A157</f>
        <v>IV kw. 
2021</v>
      </c>
      <c r="Q4" s="271" t="str">
        <f>names!A158</f>
        <v>12 m-cy 2021</v>
      </c>
      <c r="R4" s="271" t="str">
        <f>names!$A159</f>
        <v>I kw. 
2022</v>
      </c>
      <c r="S4" s="271" t="str">
        <f>names!$A160</f>
        <v>II kw. 
2022</v>
      </c>
      <c r="T4" s="271" t="str">
        <f>names!$A161</f>
        <v>III kw. 
2022</v>
      </c>
      <c r="U4" s="271" t="str">
        <f>names!$A162</f>
        <v>IV kw. 
2022</v>
      </c>
      <c r="V4" s="271" t="str">
        <f>names!$A163</f>
        <v>12 m-cy 2022</v>
      </c>
      <c r="W4" s="271" t="str">
        <f>names!$A164</f>
        <v>I kw. 
2023</v>
      </c>
      <c r="X4" s="271" t="str">
        <f>names!$A165</f>
        <v>II kw. 
2023</v>
      </c>
      <c r="Y4" s="271" t="str">
        <f>names!$A166</f>
        <v>III kw. 
2023</v>
      </c>
      <c r="Z4" s="271" t="str">
        <f>names!$A167</f>
        <v>IV kw. 
2023</v>
      </c>
      <c r="AA4" s="271" t="str">
        <f>names!$A168</f>
        <v>12 m-cy 2023</v>
      </c>
      <c r="AB4" s="271" t="str">
        <f>names!$A169</f>
        <v>I kw. 
2024</v>
      </c>
      <c r="AC4" s="271" t="str">
        <f>names!$A170</f>
        <v>II kw. 
2024</v>
      </c>
      <c r="AD4" s="271" t="str">
        <f>names!$A171</f>
        <v>III kw. 
2024</v>
      </c>
      <c r="AE4" s="271" t="str">
        <f>names!$A172</f>
        <v>IV kw. 
2024</v>
      </c>
      <c r="AF4" s="271" t="str">
        <f>names!$A173</f>
        <v>12 m-cy 2024</v>
      </c>
      <c r="AG4" s="577"/>
    </row>
    <row r="5" spans="2:35" ht="6.75" customHeight="1" thickBo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577"/>
    </row>
    <row r="6" spans="2:35" ht="13.5" thickBot="1">
      <c r="B6" s="273" t="str">
        <f>names!$A254</f>
        <v>Przychody ze sprzedaży</v>
      </c>
      <c r="C6" s="275">
        <v>25246</v>
      </c>
      <c r="D6" s="275">
        <v>29228</v>
      </c>
      <c r="E6" s="275">
        <v>29229</v>
      </c>
      <c r="F6" s="275">
        <v>27500</v>
      </c>
      <c r="G6" s="321">
        <v>111203</v>
      </c>
      <c r="H6" s="275">
        <v>22077</v>
      </c>
      <c r="I6" s="275">
        <v>17010</v>
      </c>
      <c r="J6" s="275">
        <v>23918</v>
      </c>
      <c r="K6" s="275">
        <v>23175</v>
      </c>
      <c r="L6" s="321">
        <v>86180</v>
      </c>
      <c r="M6" s="275">
        <v>24562</v>
      </c>
      <c r="N6" s="275">
        <v>29423</v>
      </c>
      <c r="O6" s="275">
        <v>36442</v>
      </c>
      <c r="P6" s="275">
        <v>40914</v>
      </c>
      <c r="Q6" s="321">
        <v>131341</v>
      </c>
      <c r="R6" s="275">
        <v>45447</v>
      </c>
      <c r="S6" s="275">
        <v>57804</v>
      </c>
      <c r="T6" s="275">
        <v>72915</v>
      </c>
      <c r="U6" s="275">
        <v>106249</v>
      </c>
      <c r="V6" s="321">
        <v>282415</v>
      </c>
      <c r="W6" s="275">
        <v>115828</v>
      </c>
      <c r="X6" s="275">
        <v>79029</v>
      </c>
      <c r="Y6" s="275">
        <v>79457</v>
      </c>
      <c r="Z6" s="275">
        <v>98453</v>
      </c>
      <c r="AA6" s="321">
        <v>371916</v>
      </c>
      <c r="AB6" s="275">
        <v>82332</v>
      </c>
      <c r="AC6" s="275">
        <v>69510</v>
      </c>
      <c r="AD6" s="275">
        <v>67936</v>
      </c>
      <c r="AE6" s="275">
        <v>77169</v>
      </c>
      <c r="AF6" s="321">
        <v>296947</v>
      </c>
      <c r="AG6" s="577"/>
      <c r="AH6" s="577"/>
    </row>
    <row r="7" spans="2:35" ht="27.75" customHeight="1">
      <c r="B7" s="490" t="str">
        <f>names!$A255</f>
        <v>Zysk/(Strata) z działalności operacyjnej wg LIFO powiększona o amortyzację (EBITDA LIFO) przed odpisem aktualizującym**, ***, w tym:</v>
      </c>
      <c r="C7" s="279">
        <v>2014</v>
      </c>
      <c r="D7" s="279">
        <v>2732</v>
      </c>
      <c r="E7" s="279">
        <v>3167</v>
      </c>
      <c r="F7" s="279">
        <v>1259</v>
      </c>
      <c r="G7" s="322">
        <v>9172.0000000000018</v>
      </c>
      <c r="H7" s="279">
        <v>1607</v>
      </c>
      <c r="I7" s="279">
        <v>6075</v>
      </c>
      <c r="J7" s="279">
        <v>1970</v>
      </c>
      <c r="K7" s="279">
        <v>2778</v>
      </c>
      <c r="L7" s="322">
        <v>12430</v>
      </c>
      <c r="M7" s="279">
        <v>2425</v>
      </c>
      <c r="N7" s="279">
        <v>3171</v>
      </c>
      <c r="O7" s="279">
        <v>4299</v>
      </c>
      <c r="P7" s="279">
        <v>4259</v>
      </c>
      <c r="Q7" s="322">
        <v>14154</v>
      </c>
      <c r="R7" s="279">
        <v>2786</v>
      </c>
      <c r="S7" s="279">
        <v>8204</v>
      </c>
      <c r="T7" s="279">
        <v>19485</v>
      </c>
      <c r="U7" s="279">
        <v>30546</v>
      </c>
      <c r="V7" s="322">
        <v>61021</v>
      </c>
      <c r="W7" s="279">
        <v>19944</v>
      </c>
      <c r="X7" s="279">
        <v>10934</v>
      </c>
      <c r="Y7" s="279">
        <v>10258</v>
      </c>
      <c r="Z7" s="279">
        <v>21111</v>
      </c>
      <c r="AA7" s="322">
        <v>62626</v>
      </c>
      <c r="AB7" s="279">
        <v>8384</v>
      </c>
      <c r="AC7" s="279">
        <v>5104</v>
      </c>
      <c r="AD7" s="279">
        <v>8808</v>
      </c>
      <c r="AE7" s="279">
        <v>12656</v>
      </c>
      <c r="AF7" s="322">
        <v>35764</v>
      </c>
      <c r="AG7" s="577"/>
      <c r="AH7" s="577"/>
      <c r="AI7" s="269"/>
    </row>
    <row r="8" spans="2:35">
      <c r="B8" s="285" t="str">
        <f>names!$A256</f>
        <v>Rafineria</v>
      </c>
      <c r="C8" s="282">
        <v>499</v>
      </c>
      <c r="D8" s="282">
        <v>851</v>
      </c>
      <c r="E8" s="282">
        <v>1167</v>
      </c>
      <c r="F8" s="282">
        <v>266</v>
      </c>
      <c r="G8" s="323">
        <v>2783</v>
      </c>
      <c r="H8" s="282">
        <v>-353</v>
      </c>
      <c r="I8" s="282">
        <v>614</v>
      </c>
      <c r="J8" s="282">
        <v>-370</v>
      </c>
      <c r="K8" s="282">
        <v>98</v>
      </c>
      <c r="L8" s="323">
        <v>-11</v>
      </c>
      <c r="M8" s="282">
        <v>22</v>
      </c>
      <c r="N8" s="282">
        <v>282</v>
      </c>
      <c r="O8" s="282">
        <v>1198</v>
      </c>
      <c r="P8" s="282">
        <v>2112</v>
      </c>
      <c r="Q8" s="323">
        <v>3614</v>
      </c>
      <c r="R8" s="282">
        <v>900</v>
      </c>
      <c r="S8" s="282">
        <v>4656</v>
      </c>
      <c r="T8" s="282">
        <v>7319</v>
      </c>
      <c r="U8" s="282">
        <v>10428</v>
      </c>
      <c r="V8" s="323">
        <v>23303</v>
      </c>
      <c r="W8" s="282">
        <v>5485</v>
      </c>
      <c r="X8" s="282">
        <v>2536</v>
      </c>
      <c r="Y8" s="282">
        <v>1866</v>
      </c>
      <c r="Z8" s="282">
        <v>-402</v>
      </c>
      <c r="AA8" s="323">
        <v>9437</v>
      </c>
      <c r="AB8" s="282">
        <v>2272</v>
      </c>
      <c r="AC8" s="282">
        <v>2622</v>
      </c>
      <c r="AD8" s="282">
        <v>520</v>
      </c>
      <c r="AE8" s="282">
        <v>1564</v>
      </c>
      <c r="AF8" s="323">
        <v>7183</v>
      </c>
      <c r="AG8" s="577"/>
      <c r="AH8" s="577"/>
      <c r="AI8" s="269"/>
    </row>
    <row r="9" spans="2:35">
      <c r="B9" s="285" t="str">
        <f>names!$A257</f>
        <v>Petrochemia</v>
      </c>
      <c r="C9" s="286">
        <v>708</v>
      </c>
      <c r="D9" s="286">
        <v>708</v>
      </c>
      <c r="E9" s="286">
        <v>721</v>
      </c>
      <c r="F9" s="286">
        <v>177</v>
      </c>
      <c r="G9" s="324">
        <v>2314.0000000000018</v>
      </c>
      <c r="H9" s="286">
        <v>766</v>
      </c>
      <c r="I9" s="286">
        <v>251</v>
      </c>
      <c r="J9" s="286">
        <v>502</v>
      </c>
      <c r="K9" s="286">
        <v>790</v>
      </c>
      <c r="L9" s="324">
        <v>2309</v>
      </c>
      <c r="M9" s="286">
        <v>872</v>
      </c>
      <c r="N9" s="286">
        <v>1021</v>
      </c>
      <c r="O9" s="286">
        <v>1013</v>
      </c>
      <c r="P9" s="286">
        <v>1389</v>
      </c>
      <c r="Q9" s="324">
        <v>4295</v>
      </c>
      <c r="R9" s="286">
        <v>451</v>
      </c>
      <c r="S9" s="286">
        <v>1643</v>
      </c>
      <c r="T9" s="286">
        <v>698</v>
      </c>
      <c r="U9" s="286">
        <v>581</v>
      </c>
      <c r="V9" s="324">
        <v>3373</v>
      </c>
      <c r="W9" s="286">
        <v>98</v>
      </c>
      <c r="X9" s="286">
        <v>-120</v>
      </c>
      <c r="Y9" s="286">
        <v>-136</v>
      </c>
      <c r="Z9" s="286">
        <v>-327</v>
      </c>
      <c r="AA9" s="324">
        <v>-466</v>
      </c>
      <c r="AB9" s="286">
        <v>4</v>
      </c>
      <c r="AC9" s="286">
        <v>-180</v>
      </c>
      <c r="AD9" s="286">
        <v>-118</v>
      </c>
      <c r="AE9" s="286">
        <v>-748</v>
      </c>
      <c r="AF9" s="324">
        <v>-1089</v>
      </c>
      <c r="AG9" s="577"/>
      <c r="AH9" s="577"/>
      <c r="AI9" s="269"/>
    </row>
    <row r="10" spans="2:35">
      <c r="B10" s="285" t="str">
        <f>names!$A258</f>
        <v>Energetyka</v>
      </c>
      <c r="C10" s="286">
        <v>242</v>
      </c>
      <c r="D10" s="286">
        <v>432</v>
      </c>
      <c r="E10" s="286">
        <v>514</v>
      </c>
      <c r="F10" s="286">
        <v>382</v>
      </c>
      <c r="G10" s="324">
        <v>1570</v>
      </c>
      <c r="H10" s="286">
        <v>488</v>
      </c>
      <c r="I10" s="286">
        <v>4821</v>
      </c>
      <c r="J10" s="286">
        <v>1022</v>
      </c>
      <c r="K10" s="286">
        <v>1371</v>
      </c>
      <c r="L10" s="324">
        <v>7702</v>
      </c>
      <c r="M10" s="286">
        <v>1259</v>
      </c>
      <c r="N10" s="286">
        <v>1215</v>
      </c>
      <c r="O10" s="286">
        <v>1042</v>
      </c>
      <c r="P10" s="286">
        <v>164</v>
      </c>
      <c r="Q10" s="324">
        <v>3680</v>
      </c>
      <c r="R10" s="286">
        <v>1004</v>
      </c>
      <c r="S10" s="286">
        <v>1176</v>
      </c>
      <c r="T10" s="286">
        <v>1607</v>
      </c>
      <c r="U10" s="286">
        <v>-44</v>
      </c>
      <c r="V10" s="324">
        <v>3743</v>
      </c>
      <c r="W10" s="286">
        <v>2875</v>
      </c>
      <c r="X10" s="286">
        <v>555</v>
      </c>
      <c r="Y10" s="286">
        <v>1348</v>
      </c>
      <c r="Z10" s="286">
        <v>23</v>
      </c>
      <c r="AA10" s="324">
        <v>4894</v>
      </c>
      <c r="AB10" s="286">
        <v>2427</v>
      </c>
      <c r="AC10" s="286">
        <v>1967</v>
      </c>
      <c r="AD10" s="286">
        <v>949</v>
      </c>
      <c r="AE10" s="286">
        <v>2266</v>
      </c>
      <c r="AF10" s="324">
        <v>7927</v>
      </c>
      <c r="AG10" s="577"/>
      <c r="AH10" s="577"/>
      <c r="AI10" s="269"/>
    </row>
    <row r="11" spans="2:35">
      <c r="B11" s="285" t="str">
        <f>names!$A259</f>
        <v>Detal</v>
      </c>
      <c r="C11" s="286">
        <v>676</v>
      </c>
      <c r="D11" s="286">
        <v>859</v>
      </c>
      <c r="E11" s="286">
        <v>925</v>
      </c>
      <c r="F11" s="286">
        <v>585</v>
      </c>
      <c r="G11" s="324">
        <v>3045</v>
      </c>
      <c r="H11" s="286">
        <v>706</v>
      </c>
      <c r="I11" s="286">
        <v>726</v>
      </c>
      <c r="J11" s="286">
        <v>1035</v>
      </c>
      <c r="K11" s="286">
        <v>765</v>
      </c>
      <c r="L11" s="324">
        <v>3232</v>
      </c>
      <c r="M11" s="286">
        <v>548</v>
      </c>
      <c r="N11" s="286">
        <v>828</v>
      </c>
      <c r="O11" s="286">
        <v>948</v>
      </c>
      <c r="P11" s="286">
        <v>573</v>
      </c>
      <c r="Q11" s="324">
        <v>2897</v>
      </c>
      <c r="R11" s="286">
        <v>585</v>
      </c>
      <c r="S11" s="286">
        <v>697</v>
      </c>
      <c r="T11" s="286">
        <v>856</v>
      </c>
      <c r="U11" s="286">
        <v>633</v>
      </c>
      <c r="V11" s="324">
        <v>2771</v>
      </c>
      <c r="W11" s="286">
        <v>233</v>
      </c>
      <c r="X11" s="286">
        <v>662</v>
      </c>
      <c r="Y11" s="286">
        <v>600</v>
      </c>
      <c r="Z11" s="286">
        <v>708</v>
      </c>
      <c r="AA11" s="324">
        <v>2193</v>
      </c>
      <c r="AB11" s="286">
        <v>511</v>
      </c>
      <c r="AC11" s="286">
        <v>893</v>
      </c>
      <c r="AD11" s="286">
        <v>1077</v>
      </c>
      <c r="AE11" s="286">
        <v>660</v>
      </c>
      <c r="AF11" s="324">
        <v>3141</v>
      </c>
      <c r="AG11" s="577"/>
      <c r="AH11" s="577"/>
      <c r="AI11" s="269"/>
    </row>
    <row r="12" spans="2:35">
      <c r="B12" s="285" t="str">
        <f>names!$A260</f>
        <v>Wydobycie</v>
      </c>
      <c r="C12" s="286">
        <v>94</v>
      </c>
      <c r="D12" s="286">
        <v>83</v>
      </c>
      <c r="E12" s="286">
        <v>85</v>
      </c>
      <c r="F12" s="286">
        <v>33</v>
      </c>
      <c r="G12" s="324">
        <v>295</v>
      </c>
      <c r="H12" s="286">
        <v>219</v>
      </c>
      <c r="I12" s="286">
        <v>10</v>
      </c>
      <c r="J12" s="286">
        <v>44</v>
      </c>
      <c r="K12" s="286">
        <v>49</v>
      </c>
      <c r="L12" s="324">
        <v>322</v>
      </c>
      <c r="M12" s="286">
        <v>14</v>
      </c>
      <c r="N12" s="286">
        <v>60</v>
      </c>
      <c r="O12" s="286">
        <v>130</v>
      </c>
      <c r="P12" s="286">
        <v>183</v>
      </c>
      <c r="Q12" s="324">
        <v>387</v>
      </c>
      <c r="R12" s="286">
        <v>162</v>
      </c>
      <c r="S12" s="286">
        <v>336</v>
      </c>
      <c r="T12" s="286">
        <v>781</v>
      </c>
      <c r="U12" s="286">
        <v>6670</v>
      </c>
      <c r="V12" s="324">
        <v>7949</v>
      </c>
      <c r="W12" s="286">
        <v>2270</v>
      </c>
      <c r="X12" s="286">
        <v>-111</v>
      </c>
      <c r="Y12" s="286">
        <v>-211</v>
      </c>
      <c r="Z12" s="286">
        <v>150</v>
      </c>
      <c r="AA12" s="324">
        <v>2385</v>
      </c>
      <c r="AB12" s="286">
        <v>-4110</v>
      </c>
      <c r="AC12" s="286">
        <v>-3941</v>
      </c>
      <c r="AD12" s="286">
        <v>3312</v>
      </c>
      <c r="AE12" s="286">
        <v>4928</v>
      </c>
      <c r="AF12" s="324">
        <v>305</v>
      </c>
      <c r="AG12" s="577"/>
      <c r="AH12" s="577"/>
      <c r="AI12" s="269"/>
    </row>
    <row r="13" spans="2:35">
      <c r="B13" s="285" t="str">
        <f>names!$A261</f>
        <v>Gaz</v>
      </c>
      <c r="C13" s="287" t="s">
        <v>249</v>
      </c>
      <c r="D13" s="287" t="s">
        <v>249</v>
      </c>
      <c r="E13" s="287" t="s">
        <v>249</v>
      </c>
      <c r="F13" s="287" t="s">
        <v>249</v>
      </c>
      <c r="G13" s="336" t="s">
        <v>249</v>
      </c>
      <c r="H13" s="287" t="s">
        <v>249</v>
      </c>
      <c r="I13" s="287" t="s">
        <v>249</v>
      </c>
      <c r="J13" s="287" t="s">
        <v>249</v>
      </c>
      <c r="K13" s="287" t="s">
        <v>249</v>
      </c>
      <c r="L13" s="336" t="s">
        <v>249</v>
      </c>
      <c r="M13" s="287" t="s">
        <v>249</v>
      </c>
      <c r="N13" s="287" t="s">
        <v>249</v>
      </c>
      <c r="O13" s="287" t="s">
        <v>249</v>
      </c>
      <c r="P13" s="287" t="s">
        <v>249</v>
      </c>
      <c r="Q13" s="336" t="s">
        <v>249</v>
      </c>
      <c r="R13" s="287" t="s">
        <v>249</v>
      </c>
      <c r="S13" s="287" t="s">
        <v>249</v>
      </c>
      <c r="T13" s="287" t="s">
        <v>249</v>
      </c>
      <c r="U13" s="287">
        <v>6045</v>
      </c>
      <c r="V13" s="336">
        <v>6045</v>
      </c>
      <c r="W13" s="287">
        <v>9390</v>
      </c>
      <c r="X13" s="287">
        <v>7839</v>
      </c>
      <c r="Y13" s="287">
        <v>7239</v>
      </c>
      <c r="Z13" s="287">
        <v>21317</v>
      </c>
      <c r="AA13" s="336">
        <v>45802</v>
      </c>
      <c r="AB13" s="287">
        <v>7927</v>
      </c>
      <c r="AC13" s="287">
        <v>4178</v>
      </c>
      <c r="AD13" s="287">
        <v>3462</v>
      </c>
      <c r="AE13" s="287">
        <v>4405</v>
      </c>
      <c r="AF13" s="336">
        <v>20177</v>
      </c>
      <c r="AG13" s="577"/>
      <c r="AH13" s="577"/>
      <c r="AI13" s="269"/>
    </row>
    <row r="14" spans="2:35">
      <c r="B14" s="285" t="str">
        <f>names!$A262</f>
        <v xml:space="preserve">  Corporate functions 1</v>
      </c>
      <c r="C14" s="286">
        <v>-205</v>
      </c>
      <c r="D14" s="286">
        <v>-201</v>
      </c>
      <c r="E14" s="286">
        <v>-245</v>
      </c>
      <c r="F14" s="286">
        <v>-184</v>
      </c>
      <c r="G14" s="324">
        <v>-835</v>
      </c>
      <c r="H14" s="286">
        <v>-219</v>
      </c>
      <c r="I14" s="286">
        <v>-347</v>
      </c>
      <c r="J14" s="286">
        <v>-263</v>
      </c>
      <c r="K14" s="286">
        <v>-295</v>
      </c>
      <c r="L14" s="324">
        <v>-1124</v>
      </c>
      <c r="M14" s="286">
        <v>-290</v>
      </c>
      <c r="N14" s="286">
        <v>-235</v>
      </c>
      <c r="O14" s="286">
        <v>-32</v>
      </c>
      <c r="P14" s="286">
        <v>-162</v>
      </c>
      <c r="Q14" s="324">
        <v>-719</v>
      </c>
      <c r="R14" s="286">
        <v>-316</v>
      </c>
      <c r="S14" s="286">
        <v>-304</v>
      </c>
      <c r="T14" s="286">
        <v>8229</v>
      </c>
      <c r="U14" s="286">
        <v>6239</v>
      </c>
      <c r="V14" s="324">
        <v>13848</v>
      </c>
      <c r="W14" s="286">
        <v>-399</v>
      </c>
      <c r="X14" s="286">
        <v>-438</v>
      </c>
      <c r="Y14" s="286">
        <v>-431</v>
      </c>
      <c r="Z14" s="286">
        <v>-368</v>
      </c>
      <c r="AA14" s="324">
        <v>-1615</v>
      </c>
      <c r="AB14" s="286">
        <v>-644</v>
      </c>
      <c r="AC14" s="286">
        <v>-456</v>
      </c>
      <c r="AD14" s="286">
        <v>-394</v>
      </c>
      <c r="AE14" s="286">
        <v>-419</v>
      </c>
      <c r="AF14" s="324">
        <v>-1898</v>
      </c>
      <c r="AG14" s="577"/>
      <c r="AH14" s="577"/>
      <c r="AI14" s="269"/>
    </row>
    <row r="15" spans="2:35" ht="13.5" thickBot="1">
      <c r="B15" s="285" t="str">
        <f>names!$A263</f>
        <v>Wyłączenia</v>
      </c>
      <c r="C15" s="286">
        <v>0</v>
      </c>
      <c r="D15" s="286">
        <v>0</v>
      </c>
      <c r="E15" s="286">
        <v>0</v>
      </c>
      <c r="F15" s="286">
        <v>0</v>
      </c>
      <c r="G15" s="324">
        <v>0</v>
      </c>
      <c r="H15" s="286">
        <v>0</v>
      </c>
      <c r="I15" s="286">
        <v>0</v>
      </c>
      <c r="J15" s="286">
        <v>0</v>
      </c>
      <c r="K15" s="286">
        <v>0</v>
      </c>
      <c r="L15" s="324">
        <v>0</v>
      </c>
      <c r="M15" s="286">
        <v>0</v>
      </c>
      <c r="N15" s="286">
        <v>0</v>
      </c>
      <c r="O15" s="286">
        <v>0</v>
      </c>
      <c r="P15" s="286">
        <v>0</v>
      </c>
      <c r="Q15" s="324">
        <v>0</v>
      </c>
      <c r="R15" s="286">
        <v>0</v>
      </c>
      <c r="S15" s="286">
        <v>0</v>
      </c>
      <c r="T15" s="286">
        <v>-5</v>
      </c>
      <c r="U15" s="286">
        <v>-6</v>
      </c>
      <c r="V15" s="324">
        <v>-11</v>
      </c>
      <c r="W15" s="286">
        <v>-8</v>
      </c>
      <c r="X15" s="286">
        <v>11</v>
      </c>
      <c r="Y15" s="286">
        <v>-17</v>
      </c>
      <c r="Z15" s="286">
        <v>10</v>
      </c>
      <c r="AA15" s="324">
        <v>-4</v>
      </c>
      <c r="AB15" s="286">
        <v>-3</v>
      </c>
      <c r="AC15" s="286">
        <v>21</v>
      </c>
      <c r="AD15" s="286">
        <v>0</v>
      </c>
      <c r="AE15" s="286">
        <v>0</v>
      </c>
      <c r="AF15" s="324">
        <v>18</v>
      </c>
      <c r="AG15" s="577"/>
      <c r="AH15" s="577"/>
      <c r="AI15" s="269"/>
    </row>
    <row r="16" spans="2:35">
      <c r="B16" s="390" t="str">
        <f>names!$A264</f>
        <v>Zysk/(Strata) z działalności operacyjnej wg LIFO powiększona o amortyzację (EBITDA LIFO)***, w tym:</v>
      </c>
      <c r="C16" s="275">
        <v>2004</v>
      </c>
      <c r="D16" s="275">
        <v>2715</v>
      </c>
      <c r="E16" s="275">
        <v>3094</v>
      </c>
      <c r="F16" s="275">
        <v>1180</v>
      </c>
      <c r="G16" s="321">
        <v>8993.0000000000018</v>
      </c>
      <c r="H16" s="275">
        <v>1103</v>
      </c>
      <c r="I16" s="275">
        <v>5929</v>
      </c>
      <c r="J16" s="275">
        <v>1978</v>
      </c>
      <c r="K16" s="275">
        <v>1829</v>
      </c>
      <c r="L16" s="321">
        <v>10839</v>
      </c>
      <c r="M16" s="275">
        <v>2421</v>
      </c>
      <c r="N16" s="275">
        <v>3086</v>
      </c>
      <c r="O16" s="275">
        <v>4296</v>
      </c>
      <c r="P16" s="275">
        <v>5162</v>
      </c>
      <c r="Q16" s="321">
        <v>14965</v>
      </c>
      <c r="R16" s="275">
        <v>2759</v>
      </c>
      <c r="S16" s="275">
        <v>5344</v>
      </c>
      <c r="T16" s="275">
        <v>19432</v>
      </c>
      <c r="U16" s="275">
        <v>27442</v>
      </c>
      <c r="V16" s="321">
        <v>54977</v>
      </c>
      <c r="W16" s="275">
        <v>17711</v>
      </c>
      <c r="X16" s="275">
        <v>10857</v>
      </c>
      <c r="Y16" s="275">
        <v>9236</v>
      </c>
      <c r="Z16" s="275">
        <v>7234</v>
      </c>
      <c r="AA16" s="321">
        <v>46413</v>
      </c>
      <c r="AB16" s="275">
        <v>7666</v>
      </c>
      <c r="AC16" s="275">
        <v>4583</v>
      </c>
      <c r="AD16" s="275">
        <v>5284</v>
      </c>
      <c r="AE16" s="275">
        <v>11527</v>
      </c>
      <c r="AF16" s="321">
        <v>29872</v>
      </c>
      <c r="AG16" s="577"/>
      <c r="AH16" s="577"/>
    </row>
    <row r="17" spans="2:34">
      <c r="B17" s="285" t="str">
        <f>names!$A265</f>
        <v>Rafineria</v>
      </c>
      <c r="C17" s="286">
        <v>499</v>
      </c>
      <c r="D17" s="286">
        <v>850</v>
      </c>
      <c r="E17" s="286">
        <v>1167</v>
      </c>
      <c r="F17" s="286">
        <v>266</v>
      </c>
      <c r="G17" s="324">
        <v>2782</v>
      </c>
      <c r="H17" s="286">
        <v>-357</v>
      </c>
      <c r="I17" s="286">
        <v>610</v>
      </c>
      <c r="J17" s="286">
        <v>-368</v>
      </c>
      <c r="K17" s="286">
        <v>-7</v>
      </c>
      <c r="L17" s="324">
        <v>-122</v>
      </c>
      <c r="M17" s="286">
        <v>20</v>
      </c>
      <c r="N17" s="286">
        <v>263</v>
      </c>
      <c r="O17" s="286">
        <v>1195</v>
      </c>
      <c r="P17" s="286">
        <v>2126</v>
      </c>
      <c r="Q17" s="324">
        <v>3604</v>
      </c>
      <c r="R17" s="286">
        <v>875</v>
      </c>
      <c r="S17" s="286">
        <v>1845</v>
      </c>
      <c r="T17" s="286">
        <v>7316</v>
      </c>
      <c r="U17" s="286">
        <v>7611</v>
      </c>
      <c r="V17" s="324">
        <v>17647</v>
      </c>
      <c r="W17" s="286">
        <v>5485</v>
      </c>
      <c r="X17" s="286">
        <v>2519</v>
      </c>
      <c r="Y17" s="286">
        <v>1866</v>
      </c>
      <c r="Z17" s="286">
        <v>-554</v>
      </c>
      <c r="AA17" s="324">
        <v>9268</v>
      </c>
      <c r="AB17" s="286">
        <v>2270</v>
      </c>
      <c r="AC17" s="286">
        <v>2617</v>
      </c>
      <c r="AD17" s="286">
        <v>-1831</v>
      </c>
      <c r="AE17" s="286">
        <v>1471</v>
      </c>
      <c r="AF17" s="324">
        <v>4732</v>
      </c>
      <c r="AG17" s="577"/>
      <c r="AH17" s="577"/>
    </row>
    <row r="18" spans="2:34">
      <c r="B18" s="285" t="str">
        <f>names!$A266</f>
        <v>Petrochemia</v>
      </c>
      <c r="C18" s="286">
        <v>701</v>
      </c>
      <c r="D18" s="286">
        <v>703</v>
      </c>
      <c r="E18" s="286">
        <v>712</v>
      </c>
      <c r="F18" s="286">
        <v>149</v>
      </c>
      <c r="G18" s="324">
        <v>2265.0000000000018</v>
      </c>
      <c r="H18" s="286">
        <v>766</v>
      </c>
      <c r="I18" s="286">
        <v>251</v>
      </c>
      <c r="J18" s="286">
        <v>501</v>
      </c>
      <c r="K18" s="286">
        <v>781</v>
      </c>
      <c r="L18" s="324">
        <v>2299</v>
      </c>
      <c r="M18" s="286">
        <v>872</v>
      </c>
      <c r="N18" s="286">
        <v>1021</v>
      </c>
      <c r="O18" s="286">
        <v>1013</v>
      </c>
      <c r="P18" s="286">
        <v>1419</v>
      </c>
      <c r="Q18" s="324">
        <v>4325</v>
      </c>
      <c r="R18" s="286">
        <v>451</v>
      </c>
      <c r="S18" s="286">
        <v>1643</v>
      </c>
      <c r="T18" s="286">
        <v>698</v>
      </c>
      <c r="U18" s="286">
        <v>490</v>
      </c>
      <c r="V18" s="324">
        <v>3282</v>
      </c>
      <c r="W18" s="286">
        <v>98</v>
      </c>
      <c r="X18" s="286">
        <v>-123</v>
      </c>
      <c r="Y18" s="286">
        <v>-136</v>
      </c>
      <c r="Z18" s="286">
        <v>-10450</v>
      </c>
      <c r="AA18" s="324">
        <v>-10592</v>
      </c>
      <c r="AB18" s="286">
        <v>-662</v>
      </c>
      <c r="AC18" s="286">
        <v>-640</v>
      </c>
      <c r="AD18" s="286">
        <v>-1040</v>
      </c>
      <c r="AE18" s="286">
        <v>-744</v>
      </c>
      <c r="AF18" s="324">
        <v>-3133</v>
      </c>
      <c r="AG18" s="577"/>
      <c r="AH18" s="577"/>
    </row>
    <row r="19" spans="2:34">
      <c r="B19" s="285" t="str">
        <f>names!$A267</f>
        <v>Energetyka</v>
      </c>
      <c r="C19" s="286">
        <v>238</v>
      </c>
      <c r="D19" s="286">
        <v>432</v>
      </c>
      <c r="E19" s="286">
        <v>514</v>
      </c>
      <c r="F19" s="286">
        <v>379</v>
      </c>
      <c r="G19" s="324">
        <v>1563</v>
      </c>
      <c r="H19" s="286">
        <v>488</v>
      </c>
      <c r="I19" s="286">
        <v>4819</v>
      </c>
      <c r="J19" s="286">
        <v>1021</v>
      </c>
      <c r="K19" s="286">
        <v>1369</v>
      </c>
      <c r="L19" s="324">
        <v>7697</v>
      </c>
      <c r="M19" s="286">
        <v>1259</v>
      </c>
      <c r="N19" s="286">
        <v>1153</v>
      </c>
      <c r="O19" s="286">
        <v>1044</v>
      </c>
      <c r="P19" s="286">
        <v>147</v>
      </c>
      <c r="Q19" s="324">
        <v>3603</v>
      </c>
      <c r="R19" s="286">
        <v>1004</v>
      </c>
      <c r="S19" s="286">
        <v>1161</v>
      </c>
      <c r="T19" s="286">
        <v>1600</v>
      </c>
      <c r="U19" s="286">
        <v>-70</v>
      </c>
      <c r="V19" s="324">
        <v>3695</v>
      </c>
      <c r="W19" s="286">
        <v>2874</v>
      </c>
      <c r="X19" s="286">
        <v>552</v>
      </c>
      <c r="Y19" s="286">
        <v>1344</v>
      </c>
      <c r="Z19" s="286">
        <v>9</v>
      </c>
      <c r="AA19" s="324">
        <v>4872</v>
      </c>
      <c r="AB19" s="286">
        <v>2422</v>
      </c>
      <c r="AC19" s="286">
        <v>1963</v>
      </c>
      <c r="AD19" s="286">
        <v>914</v>
      </c>
      <c r="AE19" s="679">
        <v>2231</v>
      </c>
      <c r="AF19" s="324">
        <v>7848</v>
      </c>
      <c r="AG19" s="577"/>
      <c r="AH19" s="577"/>
    </row>
    <row r="20" spans="2:34">
      <c r="B20" s="285" t="str">
        <f>names!$A268</f>
        <v>Detal</v>
      </c>
      <c r="C20" s="286">
        <v>678</v>
      </c>
      <c r="D20" s="286">
        <v>855</v>
      </c>
      <c r="E20" s="286">
        <v>924</v>
      </c>
      <c r="F20" s="286">
        <v>604</v>
      </c>
      <c r="G20" s="324">
        <v>3061</v>
      </c>
      <c r="H20" s="286">
        <v>702</v>
      </c>
      <c r="I20" s="286">
        <v>719</v>
      </c>
      <c r="J20" s="286">
        <v>1033</v>
      </c>
      <c r="K20" s="286">
        <v>739</v>
      </c>
      <c r="L20" s="324">
        <v>3193</v>
      </c>
      <c r="M20" s="286">
        <v>546</v>
      </c>
      <c r="N20" s="286">
        <v>824</v>
      </c>
      <c r="O20" s="286">
        <v>946</v>
      </c>
      <c r="P20" s="286">
        <v>534</v>
      </c>
      <c r="Q20" s="324">
        <v>2850</v>
      </c>
      <c r="R20" s="286">
        <v>583</v>
      </c>
      <c r="S20" s="286">
        <v>695</v>
      </c>
      <c r="T20" s="286">
        <v>855</v>
      </c>
      <c r="U20" s="286">
        <v>624</v>
      </c>
      <c r="V20" s="324">
        <v>2757</v>
      </c>
      <c r="W20" s="286">
        <v>230</v>
      </c>
      <c r="X20" s="286">
        <v>661</v>
      </c>
      <c r="Y20" s="286">
        <v>598</v>
      </c>
      <c r="Z20" s="286">
        <v>707</v>
      </c>
      <c r="AA20" s="324">
        <v>2186</v>
      </c>
      <c r="AB20" s="286">
        <v>511</v>
      </c>
      <c r="AC20" s="286">
        <v>893</v>
      </c>
      <c r="AD20" s="286">
        <v>1074</v>
      </c>
      <c r="AE20" s="286">
        <v>554</v>
      </c>
      <c r="AF20" s="324">
        <v>3032</v>
      </c>
      <c r="AG20" s="577"/>
      <c r="AH20" s="577"/>
    </row>
    <row r="21" spans="2:34">
      <c r="B21" s="285" t="str">
        <f>names!$A269</f>
        <v>Wydobycie</v>
      </c>
      <c r="C21" s="286">
        <v>93</v>
      </c>
      <c r="D21" s="286">
        <v>82</v>
      </c>
      <c r="E21" s="286">
        <v>23</v>
      </c>
      <c r="F21" s="286">
        <v>-34</v>
      </c>
      <c r="G21" s="324">
        <v>164</v>
      </c>
      <c r="H21" s="286">
        <v>-277</v>
      </c>
      <c r="I21" s="286">
        <v>-123</v>
      </c>
      <c r="J21" s="286">
        <v>54</v>
      </c>
      <c r="K21" s="286">
        <v>-754</v>
      </c>
      <c r="L21" s="324">
        <v>-1100</v>
      </c>
      <c r="M21" s="286">
        <v>14</v>
      </c>
      <c r="N21" s="286">
        <v>60</v>
      </c>
      <c r="O21" s="286">
        <v>130</v>
      </c>
      <c r="P21" s="286">
        <v>1101</v>
      </c>
      <c r="Q21" s="324">
        <v>1305</v>
      </c>
      <c r="R21" s="286">
        <v>162</v>
      </c>
      <c r="S21" s="286">
        <v>304</v>
      </c>
      <c r="T21" s="286">
        <v>741</v>
      </c>
      <c r="U21" s="286">
        <v>6560</v>
      </c>
      <c r="V21" s="324">
        <v>7767</v>
      </c>
      <c r="W21" s="286">
        <v>41</v>
      </c>
      <c r="X21" s="286">
        <v>-152</v>
      </c>
      <c r="Y21" s="286">
        <v>-225</v>
      </c>
      <c r="Z21" s="286">
        <v>-3426</v>
      </c>
      <c r="AA21" s="324">
        <v>-3475</v>
      </c>
      <c r="AB21" s="286">
        <v>-4153</v>
      </c>
      <c r="AC21" s="286">
        <v>-3960</v>
      </c>
      <c r="AD21" s="286">
        <v>3131</v>
      </c>
      <c r="AE21" s="286">
        <v>4117</v>
      </c>
      <c r="AF21" s="324">
        <v>-749</v>
      </c>
      <c r="AG21" s="577"/>
      <c r="AH21" s="577"/>
    </row>
    <row r="22" spans="2:34">
      <c r="B22" s="285" t="str">
        <f>names!$A270</f>
        <v>Gaz</v>
      </c>
      <c r="C22" s="287" t="s">
        <v>249</v>
      </c>
      <c r="D22" s="287" t="s">
        <v>249</v>
      </c>
      <c r="E22" s="287" t="s">
        <v>249</v>
      </c>
      <c r="F22" s="287" t="s">
        <v>249</v>
      </c>
      <c r="G22" s="336" t="s">
        <v>249</v>
      </c>
      <c r="H22" s="287" t="s">
        <v>249</v>
      </c>
      <c r="I22" s="287" t="s">
        <v>249</v>
      </c>
      <c r="J22" s="287" t="s">
        <v>249</v>
      </c>
      <c r="K22" s="287" t="s">
        <v>249</v>
      </c>
      <c r="L22" s="336" t="s">
        <v>249</v>
      </c>
      <c r="M22" s="287" t="s">
        <v>249</v>
      </c>
      <c r="N22" s="287" t="s">
        <v>249</v>
      </c>
      <c r="O22" s="287" t="s">
        <v>249</v>
      </c>
      <c r="P22" s="287" t="s">
        <v>249</v>
      </c>
      <c r="Q22" s="336" t="s">
        <v>249</v>
      </c>
      <c r="R22" s="287" t="s">
        <v>249</v>
      </c>
      <c r="S22" s="287" t="s">
        <v>249</v>
      </c>
      <c r="T22" s="287" t="s">
        <v>249</v>
      </c>
      <c r="U22" s="286">
        <v>6001</v>
      </c>
      <c r="V22" s="324">
        <v>6001</v>
      </c>
      <c r="W22" s="287">
        <v>9390</v>
      </c>
      <c r="X22" s="287">
        <v>7827</v>
      </c>
      <c r="Y22" s="287">
        <v>6237</v>
      </c>
      <c r="Z22" s="286">
        <v>21316</v>
      </c>
      <c r="AA22" s="324">
        <v>45783</v>
      </c>
      <c r="AB22" s="287">
        <v>7925</v>
      </c>
      <c r="AC22" s="287">
        <v>4146</v>
      </c>
      <c r="AD22" s="287">
        <v>3462</v>
      </c>
      <c r="AE22" s="287">
        <v>4328</v>
      </c>
      <c r="AF22" s="324">
        <v>20066</v>
      </c>
      <c r="AG22" s="577"/>
      <c r="AH22" s="577"/>
    </row>
    <row r="23" spans="2:34">
      <c r="B23" s="285" t="str">
        <f>names!$A271</f>
        <v xml:space="preserve">  Corporate functions 1</v>
      </c>
      <c r="C23" s="286">
        <v>-205</v>
      </c>
      <c r="D23" s="286">
        <v>-207</v>
      </c>
      <c r="E23" s="286">
        <v>-246</v>
      </c>
      <c r="F23" s="286">
        <v>-184</v>
      </c>
      <c r="G23" s="324">
        <v>-842</v>
      </c>
      <c r="H23" s="286">
        <v>-219</v>
      </c>
      <c r="I23" s="286">
        <v>-347</v>
      </c>
      <c r="J23" s="286">
        <v>-263</v>
      </c>
      <c r="K23" s="286">
        <v>-299</v>
      </c>
      <c r="L23" s="324">
        <v>-1128</v>
      </c>
      <c r="M23" s="286">
        <v>-290</v>
      </c>
      <c r="N23" s="286">
        <v>-235</v>
      </c>
      <c r="O23" s="286">
        <v>-32</v>
      </c>
      <c r="P23" s="286">
        <v>-165</v>
      </c>
      <c r="Q23" s="324">
        <v>-722</v>
      </c>
      <c r="R23" s="286">
        <v>-316</v>
      </c>
      <c r="S23" s="286">
        <v>-304</v>
      </c>
      <c r="T23" s="286">
        <v>8227</v>
      </c>
      <c r="U23" s="286">
        <v>6232</v>
      </c>
      <c r="V23" s="324">
        <v>13839</v>
      </c>
      <c r="W23" s="286">
        <v>-399</v>
      </c>
      <c r="X23" s="286">
        <v>-438</v>
      </c>
      <c r="Y23" s="286">
        <v>-431</v>
      </c>
      <c r="Z23" s="286">
        <v>-378</v>
      </c>
      <c r="AA23" s="324">
        <v>-1625</v>
      </c>
      <c r="AB23" s="286">
        <v>-644</v>
      </c>
      <c r="AC23" s="286">
        <v>-457</v>
      </c>
      <c r="AD23" s="286">
        <v>-426</v>
      </c>
      <c r="AE23" s="286">
        <v>-430</v>
      </c>
      <c r="AF23" s="324">
        <v>-1942</v>
      </c>
      <c r="AG23" s="577"/>
      <c r="AH23" s="577"/>
    </row>
    <row r="24" spans="2:34" ht="13.5" thickBot="1">
      <c r="B24" s="285" t="str">
        <f>names!$A272</f>
        <v>Wyłączenia</v>
      </c>
      <c r="C24" s="286">
        <v>0</v>
      </c>
      <c r="D24" s="286">
        <v>0</v>
      </c>
      <c r="E24" s="286">
        <v>0</v>
      </c>
      <c r="F24" s="286">
        <v>0</v>
      </c>
      <c r="G24" s="324">
        <v>0</v>
      </c>
      <c r="H24" s="286">
        <v>0</v>
      </c>
      <c r="I24" s="286">
        <v>0</v>
      </c>
      <c r="J24" s="286">
        <v>0</v>
      </c>
      <c r="K24" s="286">
        <v>0</v>
      </c>
      <c r="L24" s="324">
        <v>0</v>
      </c>
      <c r="M24" s="286">
        <v>0</v>
      </c>
      <c r="N24" s="286">
        <v>0</v>
      </c>
      <c r="O24" s="286">
        <v>0</v>
      </c>
      <c r="P24" s="286">
        <v>0</v>
      </c>
      <c r="Q24" s="324">
        <v>0</v>
      </c>
      <c r="R24" s="286">
        <v>0</v>
      </c>
      <c r="S24" s="286">
        <v>0</v>
      </c>
      <c r="T24" s="286">
        <v>-5</v>
      </c>
      <c r="U24" s="286">
        <v>-6</v>
      </c>
      <c r="V24" s="324">
        <v>-11</v>
      </c>
      <c r="W24" s="286">
        <v>-8</v>
      </c>
      <c r="X24" s="286">
        <v>11</v>
      </c>
      <c r="Y24" s="286">
        <v>-17</v>
      </c>
      <c r="Z24" s="286">
        <v>10</v>
      </c>
      <c r="AA24" s="324">
        <v>-4</v>
      </c>
      <c r="AB24" s="286">
        <v>-3</v>
      </c>
      <c r="AC24" s="286">
        <v>21</v>
      </c>
      <c r="AD24" s="286">
        <v>0</v>
      </c>
      <c r="AE24" s="286">
        <v>0</v>
      </c>
      <c r="AF24" s="324">
        <v>18</v>
      </c>
      <c r="AG24" s="577"/>
      <c r="AH24" s="577"/>
    </row>
    <row r="25" spans="2:34">
      <c r="B25" s="391" t="str">
        <f>names!$A273</f>
        <v>Zysk/(Strata) z działalności operacyjnej wg LIFO powiększona o amortyzację (EBITDA LIFO)***, w tym:</v>
      </c>
      <c r="C25" s="275">
        <v>2004</v>
      </c>
      <c r="D25" s="275">
        <v>2715</v>
      </c>
      <c r="E25" s="275">
        <v>3094</v>
      </c>
      <c r="F25" s="275">
        <v>1180</v>
      </c>
      <c r="G25" s="321">
        <v>8993.0000000000018</v>
      </c>
      <c r="H25" s="275">
        <v>1103</v>
      </c>
      <c r="I25" s="275">
        <v>5929</v>
      </c>
      <c r="J25" s="275">
        <v>1978</v>
      </c>
      <c r="K25" s="275">
        <v>1829</v>
      </c>
      <c r="L25" s="321">
        <v>10839</v>
      </c>
      <c r="M25" s="275">
        <v>2421</v>
      </c>
      <c r="N25" s="275">
        <v>3086</v>
      </c>
      <c r="O25" s="275">
        <v>4296</v>
      </c>
      <c r="P25" s="275">
        <v>5162</v>
      </c>
      <c r="Q25" s="321">
        <v>14965</v>
      </c>
      <c r="R25" s="275">
        <v>2759</v>
      </c>
      <c r="S25" s="275">
        <v>5344</v>
      </c>
      <c r="T25" s="275">
        <v>19432</v>
      </c>
      <c r="U25" s="275">
        <v>27442</v>
      </c>
      <c r="V25" s="321">
        <v>54977</v>
      </c>
      <c r="W25" s="275">
        <v>17711</v>
      </c>
      <c r="X25" s="275">
        <v>10857</v>
      </c>
      <c r="Y25" s="275">
        <v>9236</v>
      </c>
      <c r="Z25" s="275">
        <v>7234</v>
      </c>
      <c r="AA25" s="321">
        <v>46413</v>
      </c>
      <c r="AB25" s="275">
        <v>7666</v>
      </c>
      <c r="AC25" s="275">
        <v>4583</v>
      </c>
      <c r="AD25" s="275">
        <v>5284</v>
      </c>
      <c r="AE25" s="275">
        <v>11527</v>
      </c>
      <c r="AF25" s="321">
        <v>29872</v>
      </c>
      <c r="AG25" s="577"/>
      <c r="AH25" s="577"/>
    </row>
    <row r="26" spans="2:34">
      <c r="B26" s="285" t="str">
        <f>names!$A274</f>
        <v>ORLEN S.A.</v>
      </c>
      <c r="C26" s="286">
        <v>1148</v>
      </c>
      <c r="D26" s="286">
        <v>1907</v>
      </c>
      <c r="E26" s="286">
        <v>2052</v>
      </c>
      <c r="F26" s="286">
        <v>857</v>
      </c>
      <c r="G26" s="324">
        <v>5964</v>
      </c>
      <c r="H26" s="286">
        <v>1849</v>
      </c>
      <c r="I26" s="286">
        <v>868</v>
      </c>
      <c r="J26" s="286">
        <v>1171</v>
      </c>
      <c r="K26" s="286">
        <v>1638</v>
      </c>
      <c r="L26" s="324">
        <v>5526</v>
      </c>
      <c r="M26" s="286">
        <v>816</v>
      </c>
      <c r="N26" s="286">
        <v>1633</v>
      </c>
      <c r="O26" s="286">
        <v>2100</v>
      </c>
      <c r="P26" s="286">
        <v>2064</v>
      </c>
      <c r="Q26" s="324">
        <v>6613</v>
      </c>
      <c r="R26" s="286">
        <v>-614</v>
      </c>
      <c r="S26" s="286">
        <v>2914</v>
      </c>
      <c r="T26" s="286">
        <v>15434</v>
      </c>
      <c r="U26" s="286">
        <v>26832</v>
      </c>
      <c r="V26" s="324">
        <v>44566</v>
      </c>
      <c r="W26" s="286">
        <v>12862</v>
      </c>
      <c r="X26" s="286">
        <v>6981</v>
      </c>
      <c r="Y26" s="286">
        <v>5635</v>
      </c>
      <c r="Z26" s="286">
        <v>5241</v>
      </c>
      <c r="AA26" s="324">
        <v>30757</v>
      </c>
      <c r="AB26" s="286">
        <v>1810</v>
      </c>
      <c r="AC26" s="286">
        <v>-1156</v>
      </c>
      <c r="AD26" s="679">
        <v>4880</v>
      </c>
      <c r="AE26" s="679">
        <v>7192</v>
      </c>
      <c r="AF26" s="324">
        <v>12999</v>
      </c>
      <c r="AG26" s="577"/>
      <c r="AH26" s="577"/>
    </row>
    <row r="27" spans="2:34">
      <c r="B27" s="285" t="str">
        <f>names!$A275</f>
        <v>Grupa Unipetrol</v>
      </c>
      <c r="C27" s="286">
        <v>145</v>
      </c>
      <c r="D27" s="286">
        <v>297</v>
      </c>
      <c r="E27" s="286">
        <v>416</v>
      </c>
      <c r="F27" s="286">
        <v>78</v>
      </c>
      <c r="G27" s="324">
        <v>936</v>
      </c>
      <c r="H27" s="286">
        <v>-100</v>
      </c>
      <c r="I27" s="286">
        <v>97</v>
      </c>
      <c r="J27" s="286">
        <v>-94</v>
      </c>
      <c r="K27" s="286">
        <v>-5</v>
      </c>
      <c r="L27" s="324">
        <v>-102</v>
      </c>
      <c r="M27" s="286">
        <v>145</v>
      </c>
      <c r="N27" s="286">
        <v>282</v>
      </c>
      <c r="O27" s="286">
        <v>424</v>
      </c>
      <c r="P27" s="286">
        <v>267</v>
      </c>
      <c r="Q27" s="324">
        <v>1118</v>
      </c>
      <c r="R27" s="286">
        <v>207</v>
      </c>
      <c r="S27" s="286">
        <v>1694</v>
      </c>
      <c r="T27" s="286">
        <v>2109</v>
      </c>
      <c r="U27" s="286">
        <v>970</v>
      </c>
      <c r="V27" s="324">
        <v>4980</v>
      </c>
      <c r="W27" s="286">
        <v>1330</v>
      </c>
      <c r="X27" s="286">
        <v>746</v>
      </c>
      <c r="Y27" s="286">
        <v>188</v>
      </c>
      <c r="Z27" s="286">
        <v>378</v>
      </c>
      <c r="AA27" s="324">
        <v>2642</v>
      </c>
      <c r="AB27" s="286">
        <v>215</v>
      </c>
      <c r="AC27" s="286">
        <v>81</v>
      </c>
      <c r="AD27" s="679">
        <v>48</v>
      </c>
      <c r="AE27" s="679">
        <v>-811</v>
      </c>
      <c r="AF27" s="324">
        <v>-467</v>
      </c>
      <c r="AG27" s="577"/>
      <c r="AH27" s="577"/>
    </row>
    <row r="28" spans="2:34">
      <c r="B28" s="285" t="str">
        <f>names!$A276</f>
        <v>Grupa ORLEN Lietuva</v>
      </c>
      <c r="C28" s="286">
        <v>206</v>
      </c>
      <c r="D28" s="286">
        <v>43</v>
      </c>
      <c r="E28" s="286">
        <v>177</v>
      </c>
      <c r="F28" s="286">
        <v>-6</v>
      </c>
      <c r="G28" s="324">
        <v>420</v>
      </c>
      <c r="H28" s="286">
        <v>-753</v>
      </c>
      <c r="I28" s="286">
        <v>348</v>
      </c>
      <c r="J28" s="286">
        <v>-158</v>
      </c>
      <c r="K28" s="286">
        <v>2</v>
      </c>
      <c r="L28" s="324">
        <v>-561</v>
      </c>
      <c r="M28" s="286">
        <v>66</v>
      </c>
      <c r="N28" s="286">
        <v>-66</v>
      </c>
      <c r="O28" s="286">
        <v>128</v>
      </c>
      <c r="P28" s="286">
        <v>186</v>
      </c>
      <c r="Q28" s="324">
        <v>314</v>
      </c>
      <c r="R28" s="286">
        <v>590</v>
      </c>
      <c r="S28" s="286">
        <v>-1114</v>
      </c>
      <c r="T28" s="286">
        <v>555</v>
      </c>
      <c r="U28" s="286">
        <v>-346</v>
      </c>
      <c r="V28" s="324">
        <v>-315</v>
      </c>
      <c r="W28" s="286">
        <v>574</v>
      </c>
      <c r="X28" s="286">
        <v>234</v>
      </c>
      <c r="Y28" s="286">
        <v>815</v>
      </c>
      <c r="Z28" s="286">
        <v>-61</v>
      </c>
      <c r="AA28" s="324">
        <v>1562</v>
      </c>
      <c r="AB28" s="286">
        <v>349</v>
      </c>
      <c r="AC28" s="286">
        <v>243</v>
      </c>
      <c r="AD28" s="679">
        <v>-2590</v>
      </c>
      <c r="AE28" s="679">
        <v>66</v>
      </c>
      <c r="AF28" s="324">
        <v>-1932</v>
      </c>
      <c r="AG28" s="577"/>
      <c r="AH28" s="577"/>
    </row>
    <row r="29" spans="2:34">
      <c r="B29" s="285" t="str">
        <f>names!$A277</f>
        <v>Energa</v>
      </c>
      <c r="C29" s="286">
        <v>0</v>
      </c>
      <c r="D29" s="286">
        <v>0</v>
      </c>
      <c r="E29" s="286">
        <v>0</v>
      </c>
      <c r="F29" s="286">
        <v>0</v>
      </c>
      <c r="G29" s="324">
        <v>0</v>
      </c>
      <c r="H29" s="286">
        <v>0</v>
      </c>
      <c r="I29" s="286">
        <v>260</v>
      </c>
      <c r="J29" s="286">
        <v>484</v>
      </c>
      <c r="K29" s="286">
        <v>516</v>
      </c>
      <c r="L29" s="324">
        <v>1260</v>
      </c>
      <c r="M29" s="286">
        <v>790</v>
      </c>
      <c r="N29" s="286">
        <v>735</v>
      </c>
      <c r="O29" s="286">
        <v>719</v>
      </c>
      <c r="P29" s="286">
        <v>461</v>
      </c>
      <c r="Q29" s="324">
        <v>2705</v>
      </c>
      <c r="R29" s="286">
        <v>1107</v>
      </c>
      <c r="S29" s="286">
        <v>941</v>
      </c>
      <c r="T29" s="286">
        <v>1085</v>
      </c>
      <c r="U29" s="286">
        <v>-529</v>
      </c>
      <c r="V29" s="324">
        <v>2604</v>
      </c>
      <c r="W29" s="286">
        <v>2319</v>
      </c>
      <c r="X29" s="286">
        <v>266</v>
      </c>
      <c r="Y29" s="286">
        <v>721</v>
      </c>
      <c r="Z29" s="286">
        <v>-488</v>
      </c>
      <c r="AA29" s="324">
        <v>2818</v>
      </c>
      <c r="AB29" s="286">
        <v>1035</v>
      </c>
      <c r="AC29" s="286">
        <v>1019</v>
      </c>
      <c r="AD29" s="679">
        <v>652</v>
      </c>
      <c r="AE29" s="679">
        <v>596</v>
      </c>
      <c r="AF29" s="324">
        <v>3302</v>
      </c>
      <c r="AG29" s="577"/>
      <c r="AH29" s="577"/>
    </row>
    <row r="30" spans="2:34" ht="13.5" thickBot="1">
      <c r="B30" s="285" t="str">
        <f>names!$A278</f>
        <v>Pozostałe</v>
      </c>
      <c r="C30" s="286">
        <v>505</v>
      </c>
      <c r="D30" s="286">
        <v>468</v>
      </c>
      <c r="E30" s="286">
        <v>449</v>
      </c>
      <c r="F30" s="286">
        <v>251</v>
      </c>
      <c r="G30" s="324">
        <v>1673</v>
      </c>
      <c r="H30" s="286">
        <v>107</v>
      </c>
      <c r="I30" s="286">
        <v>4356</v>
      </c>
      <c r="J30" s="286">
        <v>575</v>
      </c>
      <c r="K30" s="286">
        <v>-322</v>
      </c>
      <c r="L30" s="324">
        <v>4716</v>
      </c>
      <c r="M30" s="286">
        <v>604</v>
      </c>
      <c r="N30" s="286">
        <v>502</v>
      </c>
      <c r="O30" s="286">
        <v>925</v>
      </c>
      <c r="P30" s="286">
        <v>2184</v>
      </c>
      <c r="Q30" s="324">
        <v>4215</v>
      </c>
      <c r="R30" s="286">
        <v>1469</v>
      </c>
      <c r="S30" s="286">
        <v>909</v>
      </c>
      <c r="T30" s="286">
        <v>249</v>
      </c>
      <c r="U30" s="286">
        <v>515</v>
      </c>
      <c r="V30" s="324">
        <v>3142</v>
      </c>
      <c r="W30" s="286">
        <v>626</v>
      </c>
      <c r="X30" s="286">
        <v>2630</v>
      </c>
      <c r="Y30" s="286">
        <v>1877</v>
      </c>
      <c r="Z30" s="286">
        <v>2164</v>
      </c>
      <c r="AA30" s="324">
        <v>8634</v>
      </c>
      <c r="AB30" s="286">
        <v>4257</v>
      </c>
      <c r="AC30" s="286">
        <v>4396</v>
      </c>
      <c r="AD30" s="679">
        <v>2294</v>
      </c>
      <c r="AE30" s="679">
        <v>4484</v>
      </c>
      <c r="AF30" s="324">
        <v>15970</v>
      </c>
      <c r="AG30" s="577"/>
      <c r="AH30" s="577"/>
    </row>
    <row r="31" spans="2:34" ht="13.5" thickBot="1">
      <c r="B31" s="273" t="str">
        <f>names!$A279</f>
        <v>Zysk/(Strata) z działalności operacyjnej powiększona o amortyzację (EBITDA)***</v>
      </c>
      <c r="C31" s="279">
        <v>1829</v>
      </c>
      <c r="D31" s="279">
        <v>2932</v>
      </c>
      <c r="E31" s="279">
        <v>2700</v>
      </c>
      <c r="F31" s="292">
        <v>1401</v>
      </c>
      <c r="G31" s="322">
        <v>8862.0000000000018</v>
      </c>
      <c r="H31" s="279">
        <v>-969</v>
      </c>
      <c r="I31" s="279">
        <v>5463</v>
      </c>
      <c r="J31" s="279">
        <v>2245</v>
      </c>
      <c r="K31" s="292">
        <v>1726</v>
      </c>
      <c r="L31" s="322">
        <v>8465</v>
      </c>
      <c r="M31" s="279">
        <v>3563</v>
      </c>
      <c r="N31" s="279">
        <v>4049</v>
      </c>
      <c r="O31" s="279">
        <v>5186</v>
      </c>
      <c r="P31" s="292">
        <v>6413</v>
      </c>
      <c r="Q31" s="322">
        <v>19211</v>
      </c>
      <c r="R31" s="279">
        <v>4933</v>
      </c>
      <c r="S31" s="279">
        <v>6665</v>
      </c>
      <c r="T31" s="279">
        <v>18879</v>
      </c>
      <c r="U31" s="292">
        <v>25597</v>
      </c>
      <c r="V31" s="322">
        <v>56074</v>
      </c>
      <c r="W31" s="279">
        <v>16540</v>
      </c>
      <c r="X31" s="279">
        <v>10473</v>
      </c>
      <c r="Y31" s="279">
        <v>10519</v>
      </c>
      <c r="Z31" s="292">
        <v>6607</v>
      </c>
      <c r="AA31" s="322">
        <v>45514</v>
      </c>
      <c r="AB31" s="279">
        <v>7730</v>
      </c>
      <c r="AC31" s="279">
        <v>4616</v>
      </c>
      <c r="AD31" s="279">
        <v>4960</v>
      </c>
      <c r="AE31" s="292">
        <v>11483</v>
      </c>
      <c r="AF31" s="322">
        <v>29601</v>
      </c>
      <c r="AG31" s="577"/>
      <c r="AH31" s="577"/>
    </row>
    <row r="32" spans="2:34">
      <c r="B32" s="290" t="str">
        <f>names!$A280</f>
        <v>Amortyzacja, w tym:</v>
      </c>
      <c r="C32" s="275">
        <v>833</v>
      </c>
      <c r="D32" s="275">
        <v>846</v>
      </c>
      <c r="E32" s="275">
        <v>893</v>
      </c>
      <c r="F32" s="275">
        <v>925</v>
      </c>
      <c r="G32" s="321">
        <v>3497</v>
      </c>
      <c r="H32" s="275">
        <v>935</v>
      </c>
      <c r="I32" s="275">
        <v>1128</v>
      </c>
      <c r="J32" s="275">
        <v>1188</v>
      </c>
      <c r="K32" s="275">
        <v>1306</v>
      </c>
      <c r="L32" s="321">
        <v>4557</v>
      </c>
      <c r="M32" s="275">
        <v>1311</v>
      </c>
      <c r="N32" s="275">
        <v>1294</v>
      </c>
      <c r="O32" s="275">
        <v>1328</v>
      </c>
      <c r="P32" s="275">
        <v>1408</v>
      </c>
      <c r="Q32" s="321">
        <v>5341</v>
      </c>
      <c r="R32" s="275">
        <v>1400</v>
      </c>
      <c r="S32" s="275">
        <v>1447</v>
      </c>
      <c r="T32" s="275">
        <v>1549</v>
      </c>
      <c r="U32" s="275">
        <v>3328</v>
      </c>
      <c r="V32" s="321">
        <v>7724</v>
      </c>
      <c r="W32" s="275">
        <v>3822</v>
      </c>
      <c r="X32" s="275">
        <v>3375</v>
      </c>
      <c r="Y32" s="275">
        <v>3401</v>
      </c>
      <c r="Z32" s="275">
        <v>3595</v>
      </c>
      <c r="AA32" s="321">
        <v>14193</v>
      </c>
      <c r="AB32" s="275">
        <v>3356</v>
      </c>
      <c r="AC32" s="275">
        <v>3502</v>
      </c>
      <c r="AD32" s="275">
        <v>3365</v>
      </c>
      <c r="AE32" s="275">
        <v>3713</v>
      </c>
      <c r="AF32" s="321">
        <v>13936</v>
      </c>
      <c r="AG32" s="577"/>
      <c r="AH32" s="577"/>
    </row>
    <row r="33" spans="2:34">
      <c r="B33" s="285" t="str">
        <f>names!$A281</f>
        <v>Rafineria</v>
      </c>
      <c r="C33" s="286">
        <v>273</v>
      </c>
      <c r="D33" s="286">
        <v>285</v>
      </c>
      <c r="E33" s="286">
        <v>282</v>
      </c>
      <c r="F33" s="286">
        <v>295</v>
      </c>
      <c r="G33" s="324">
        <v>1135</v>
      </c>
      <c r="H33" s="286">
        <v>280</v>
      </c>
      <c r="I33" s="286">
        <v>290</v>
      </c>
      <c r="J33" s="286">
        <v>285</v>
      </c>
      <c r="K33" s="286">
        <v>332</v>
      </c>
      <c r="L33" s="324">
        <v>1187</v>
      </c>
      <c r="M33" s="286">
        <v>329</v>
      </c>
      <c r="N33" s="286">
        <v>332</v>
      </c>
      <c r="O33" s="286">
        <v>338</v>
      </c>
      <c r="P33" s="286">
        <v>368</v>
      </c>
      <c r="Q33" s="324">
        <v>1367</v>
      </c>
      <c r="R33" s="286">
        <v>366</v>
      </c>
      <c r="S33" s="286">
        <v>367</v>
      </c>
      <c r="T33" s="286">
        <v>364</v>
      </c>
      <c r="U33" s="286">
        <v>393</v>
      </c>
      <c r="V33" s="324">
        <v>1490</v>
      </c>
      <c r="W33" s="286">
        <v>365</v>
      </c>
      <c r="X33" s="286">
        <v>384</v>
      </c>
      <c r="Y33" s="286">
        <v>366</v>
      </c>
      <c r="Z33" s="286">
        <v>378</v>
      </c>
      <c r="AA33" s="324">
        <v>1493</v>
      </c>
      <c r="AB33" s="286">
        <v>395</v>
      </c>
      <c r="AC33" s="286">
        <v>422</v>
      </c>
      <c r="AD33" s="286">
        <v>433</v>
      </c>
      <c r="AE33" s="286">
        <v>445</v>
      </c>
      <c r="AF33" s="324">
        <v>1695</v>
      </c>
      <c r="AG33" s="577"/>
      <c r="AH33" s="577"/>
    </row>
    <row r="34" spans="2:34">
      <c r="B34" s="285" t="str">
        <f>names!$A282</f>
        <v>Petrochemia</v>
      </c>
      <c r="C34" s="286">
        <v>193</v>
      </c>
      <c r="D34" s="286">
        <v>198</v>
      </c>
      <c r="E34" s="286">
        <v>205</v>
      </c>
      <c r="F34" s="286">
        <v>213</v>
      </c>
      <c r="G34" s="324">
        <v>809.00000000000182</v>
      </c>
      <c r="H34" s="286">
        <v>227</v>
      </c>
      <c r="I34" s="286">
        <v>231</v>
      </c>
      <c r="J34" s="286">
        <v>224</v>
      </c>
      <c r="K34" s="286">
        <v>232</v>
      </c>
      <c r="L34" s="324">
        <v>914</v>
      </c>
      <c r="M34" s="286">
        <v>249</v>
      </c>
      <c r="N34" s="286">
        <v>233</v>
      </c>
      <c r="O34" s="286">
        <v>241</v>
      </c>
      <c r="P34" s="286">
        <v>306</v>
      </c>
      <c r="Q34" s="324">
        <v>1029</v>
      </c>
      <c r="R34" s="286">
        <v>269</v>
      </c>
      <c r="S34" s="286">
        <v>273</v>
      </c>
      <c r="T34" s="286">
        <v>274</v>
      </c>
      <c r="U34" s="286">
        <v>288</v>
      </c>
      <c r="V34" s="324">
        <v>1104</v>
      </c>
      <c r="W34" s="286">
        <v>291</v>
      </c>
      <c r="X34" s="286">
        <v>288</v>
      </c>
      <c r="Y34" s="286">
        <v>289</v>
      </c>
      <c r="Z34" s="286">
        <v>288</v>
      </c>
      <c r="AA34" s="324">
        <v>1156</v>
      </c>
      <c r="AB34" s="286">
        <v>196</v>
      </c>
      <c r="AC34" s="286">
        <v>196</v>
      </c>
      <c r="AD34" s="286">
        <v>218</v>
      </c>
      <c r="AE34" s="286">
        <v>211</v>
      </c>
      <c r="AF34" s="324">
        <v>821</v>
      </c>
      <c r="AG34" s="577"/>
      <c r="AH34" s="577"/>
    </row>
    <row r="35" spans="2:34">
      <c r="B35" s="285" t="str">
        <f>names!$A283</f>
        <v>Energetyka</v>
      </c>
      <c r="C35" s="286">
        <v>105</v>
      </c>
      <c r="D35" s="286">
        <v>106</v>
      </c>
      <c r="E35" s="286">
        <v>108</v>
      </c>
      <c r="F35" s="286">
        <v>117</v>
      </c>
      <c r="G35" s="324">
        <v>436</v>
      </c>
      <c r="H35" s="286">
        <v>117</v>
      </c>
      <c r="I35" s="286">
        <v>297</v>
      </c>
      <c r="J35" s="286">
        <v>377</v>
      </c>
      <c r="K35" s="286">
        <v>389</v>
      </c>
      <c r="L35" s="324">
        <v>1180</v>
      </c>
      <c r="M35" s="286">
        <v>395</v>
      </c>
      <c r="N35" s="286">
        <v>380</v>
      </c>
      <c r="O35" s="286">
        <v>398</v>
      </c>
      <c r="P35" s="286">
        <v>415</v>
      </c>
      <c r="Q35" s="324">
        <v>1588</v>
      </c>
      <c r="R35" s="286">
        <v>410</v>
      </c>
      <c r="S35" s="286">
        <v>418</v>
      </c>
      <c r="T35" s="286">
        <v>412</v>
      </c>
      <c r="U35" s="286">
        <v>567</v>
      </c>
      <c r="V35" s="324">
        <v>1807</v>
      </c>
      <c r="W35" s="286">
        <v>590</v>
      </c>
      <c r="X35" s="286">
        <v>577</v>
      </c>
      <c r="Y35" s="286">
        <v>574</v>
      </c>
      <c r="Z35" s="286">
        <v>605</v>
      </c>
      <c r="AA35" s="324">
        <v>2346</v>
      </c>
      <c r="AB35" s="286">
        <v>592</v>
      </c>
      <c r="AC35" s="286">
        <v>619</v>
      </c>
      <c r="AD35" s="286">
        <v>619</v>
      </c>
      <c r="AE35" s="286">
        <v>682</v>
      </c>
      <c r="AF35" s="324">
        <v>2512</v>
      </c>
      <c r="AG35" s="577"/>
      <c r="AH35" s="577"/>
    </row>
    <row r="36" spans="2:34">
      <c r="B36" s="285" t="str">
        <f>names!$A284</f>
        <v>Detal</v>
      </c>
      <c r="C36" s="286">
        <v>157</v>
      </c>
      <c r="D36" s="286">
        <v>153</v>
      </c>
      <c r="E36" s="286">
        <v>158</v>
      </c>
      <c r="F36" s="286">
        <v>162</v>
      </c>
      <c r="G36" s="324">
        <v>630</v>
      </c>
      <c r="H36" s="286">
        <v>167</v>
      </c>
      <c r="I36" s="286">
        <v>184</v>
      </c>
      <c r="J36" s="286">
        <v>176</v>
      </c>
      <c r="K36" s="286">
        <v>193</v>
      </c>
      <c r="L36" s="324">
        <v>720</v>
      </c>
      <c r="M36" s="286">
        <v>206</v>
      </c>
      <c r="N36" s="286">
        <v>199</v>
      </c>
      <c r="O36" s="286">
        <v>203</v>
      </c>
      <c r="P36" s="286">
        <v>197</v>
      </c>
      <c r="Q36" s="324">
        <v>805</v>
      </c>
      <c r="R36" s="286">
        <v>206</v>
      </c>
      <c r="S36" s="286">
        <v>210</v>
      </c>
      <c r="T36" s="286">
        <v>214</v>
      </c>
      <c r="U36" s="286">
        <v>239</v>
      </c>
      <c r="V36" s="324">
        <v>869</v>
      </c>
      <c r="W36" s="286">
        <v>233</v>
      </c>
      <c r="X36" s="286">
        <v>258</v>
      </c>
      <c r="Y36" s="286">
        <v>250</v>
      </c>
      <c r="Z36" s="286">
        <v>270</v>
      </c>
      <c r="AA36" s="324">
        <v>1011</v>
      </c>
      <c r="AB36" s="286">
        <v>275</v>
      </c>
      <c r="AC36" s="286">
        <v>284</v>
      </c>
      <c r="AD36" s="286">
        <v>292</v>
      </c>
      <c r="AE36" s="286">
        <v>342</v>
      </c>
      <c r="AF36" s="324">
        <v>1193</v>
      </c>
      <c r="AG36" s="577"/>
      <c r="AH36" s="577"/>
    </row>
    <row r="37" spans="2:34">
      <c r="B37" s="285" t="str">
        <f>names!$A285</f>
        <v>Wydobycie</v>
      </c>
      <c r="C37" s="286">
        <v>70</v>
      </c>
      <c r="D37" s="286">
        <v>66</v>
      </c>
      <c r="E37" s="286">
        <v>100</v>
      </c>
      <c r="F37" s="286">
        <v>83</v>
      </c>
      <c r="G37" s="324">
        <v>319</v>
      </c>
      <c r="H37" s="286">
        <v>94</v>
      </c>
      <c r="I37" s="286">
        <v>78</v>
      </c>
      <c r="J37" s="286">
        <v>72</v>
      </c>
      <c r="K37" s="286">
        <v>106</v>
      </c>
      <c r="L37" s="324">
        <v>350</v>
      </c>
      <c r="M37" s="286">
        <v>75</v>
      </c>
      <c r="N37" s="286">
        <v>82</v>
      </c>
      <c r="O37" s="286">
        <v>80</v>
      </c>
      <c r="P37" s="286">
        <v>23</v>
      </c>
      <c r="Q37" s="324">
        <v>260</v>
      </c>
      <c r="R37" s="286">
        <v>70</v>
      </c>
      <c r="S37" s="286">
        <v>105</v>
      </c>
      <c r="T37" s="286">
        <v>204</v>
      </c>
      <c r="U37" s="286">
        <v>1331</v>
      </c>
      <c r="V37" s="324">
        <v>1710</v>
      </c>
      <c r="W37" s="286">
        <v>1612</v>
      </c>
      <c r="X37" s="286">
        <v>1272</v>
      </c>
      <c r="Y37" s="286">
        <v>1288</v>
      </c>
      <c r="Z37" s="286">
        <v>1430</v>
      </c>
      <c r="AA37" s="324">
        <v>5602</v>
      </c>
      <c r="AB37" s="286">
        <v>1280</v>
      </c>
      <c r="AC37" s="286">
        <v>1350</v>
      </c>
      <c r="AD37" s="286">
        <v>1170</v>
      </c>
      <c r="AE37" s="286">
        <v>1370</v>
      </c>
      <c r="AF37" s="324">
        <v>5170</v>
      </c>
      <c r="AG37" s="577"/>
      <c r="AH37" s="577"/>
    </row>
    <row r="38" spans="2:34">
      <c r="B38" s="285" t="str">
        <f>names!$A286</f>
        <v>Gaz</v>
      </c>
      <c r="C38" s="287" t="s">
        <v>249</v>
      </c>
      <c r="D38" s="287" t="s">
        <v>249</v>
      </c>
      <c r="E38" s="287" t="s">
        <v>249</v>
      </c>
      <c r="F38" s="287" t="s">
        <v>249</v>
      </c>
      <c r="G38" s="336" t="s">
        <v>249</v>
      </c>
      <c r="H38" s="287" t="s">
        <v>249</v>
      </c>
      <c r="I38" s="287" t="s">
        <v>249</v>
      </c>
      <c r="J38" s="287" t="s">
        <v>249</v>
      </c>
      <c r="K38" s="287" t="s">
        <v>249</v>
      </c>
      <c r="L38" s="336" t="s">
        <v>249</v>
      </c>
      <c r="M38" s="287" t="s">
        <v>249</v>
      </c>
      <c r="N38" s="287" t="s">
        <v>249</v>
      </c>
      <c r="O38" s="287" t="s">
        <v>249</v>
      </c>
      <c r="P38" s="287" t="s">
        <v>249</v>
      </c>
      <c r="Q38" s="336" t="s">
        <v>249</v>
      </c>
      <c r="R38" s="287" t="s">
        <v>249</v>
      </c>
      <c r="S38" s="287" t="s">
        <v>249</v>
      </c>
      <c r="T38" s="287" t="s">
        <v>249</v>
      </c>
      <c r="U38" s="286">
        <v>418</v>
      </c>
      <c r="V38" s="336">
        <v>418</v>
      </c>
      <c r="W38" s="286">
        <v>644</v>
      </c>
      <c r="X38" s="286">
        <v>504</v>
      </c>
      <c r="Y38" s="286">
        <v>547</v>
      </c>
      <c r="Z38" s="286">
        <v>520</v>
      </c>
      <c r="AA38" s="336">
        <v>2215</v>
      </c>
      <c r="AB38" s="286">
        <v>522</v>
      </c>
      <c r="AC38" s="286">
        <v>535</v>
      </c>
      <c r="AD38" s="286">
        <v>531</v>
      </c>
      <c r="AE38" s="286">
        <v>561</v>
      </c>
      <c r="AF38" s="336">
        <v>2149</v>
      </c>
      <c r="AG38" s="577"/>
      <c r="AH38" s="577"/>
    </row>
    <row r="39" spans="2:34" ht="13.5" thickBot="1">
      <c r="B39" s="285" t="str">
        <f>names!$A287</f>
        <v xml:space="preserve">  Corporate functions 1</v>
      </c>
      <c r="C39" s="286">
        <v>35</v>
      </c>
      <c r="D39" s="286">
        <v>38</v>
      </c>
      <c r="E39" s="286">
        <v>40</v>
      </c>
      <c r="F39" s="286">
        <v>55</v>
      </c>
      <c r="G39" s="324">
        <v>168</v>
      </c>
      <c r="H39" s="286">
        <v>50</v>
      </c>
      <c r="I39" s="286">
        <v>48</v>
      </c>
      <c r="J39" s="286">
        <v>54</v>
      </c>
      <c r="K39" s="286">
        <v>54</v>
      </c>
      <c r="L39" s="324">
        <v>206</v>
      </c>
      <c r="M39" s="286">
        <v>57</v>
      </c>
      <c r="N39" s="286">
        <v>68</v>
      </c>
      <c r="O39" s="286">
        <v>68</v>
      </c>
      <c r="P39" s="286">
        <v>99</v>
      </c>
      <c r="Q39" s="324">
        <v>292</v>
      </c>
      <c r="R39" s="286">
        <v>79</v>
      </c>
      <c r="S39" s="286">
        <v>74</v>
      </c>
      <c r="T39" s="286">
        <v>81</v>
      </c>
      <c r="U39" s="286">
        <v>92</v>
      </c>
      <c r="V39" s="324">
        <v>326</v>
      </c>
      <c r="W39" s="286">
        <v>87</v>
      </c>
      <c r="X39" s="286">
        <v>92</v>
      </c>
      <c r="Y39" s="286">
        <v>87</v>
      </c>
      <c r="Z39" s="286">
        <v>104</v>
      </c>
      <c r="AA39" s="324">
        <v>370</v>
      </c>
      <c r="AB39" s="286">
        <v>96</v>
      </c>
      <c r="AC39" s="286">
        <v>96</v>
      </c>
      <c r="AD39" s="286">
        <v>102</v>
      </c>
      <c r="AE39" s="286">
        <v>102</v>
      </c>
      <c r="AF39" s="324">
        <v>396</v>
      </c>
      <c r="AG39" s="577"/>
      <c r="AH39" s="577"/>
    </row>
    <row r="40" spans="2:34">
      <c r="B40" s="290" t="str">
        <f>names!$A288</f>
        <v>Zysk/(Strata) z działalności operacyjnej wg LIFO (EBIT LIFO)***, w tym:</v>
      </c>
      <c r="C40" s="275">
        <v>1171</v>
      </c>
      <c r="D40" s="275">
        <v>1869</v>
      </c>
      <c r="E40" s="275">
        <v>2201</v>
      </c>
      <c r="F40" s="275">
        <v>255</v>
      </c>
      <c r="G40" s="321">
        <v>5496</v>
      </c>
      <c r="H40" s="275">
        <v>168</v>
      </c>
      <c r="I40" s="275">
        <v>4801</v>
      </c>
      <c r="J40" s="275">
        <v>790</v>
      </c>
      <c r="K40" s="275">
        <v>523</v>
      </c>
      <c r="L40" s="321">
        <v>6282</v>
      </c>
      <c r="M40" s="275">
        <v>1110</v>
      </c>
      <c r="N40" s="275">
        <v>1792</v>
      </c>
      <c r="O40" s="275">
        <v>2968</v>
      </c>
      <c r="P40" s="275">
        <v>3754</v>
      </c>
      <c r="Q40" s="321">
        <v>9624</v>
      </c>
      <c r="R40" s="275">
        <v>1359</v>
      </c>
      <c r="S40" s="275">
        <v>3897</v>
      </c>
      <c r="T40" s="275">
        <v>17883</v>
      </c>
      <c r="U40" s="275">
        <v>24114</v>
      </c>
      <c r="V40" s="321">
        <v>47253</v>
      </c>
      <c r="W40" s="275">
        <v>13889</v>
      </c>
      <c r="X40" s="275">
        <v>7482</v>
      </c>
      <c r="Y40" s="275">
        <v>5835</v>
      </c>
      <c r="Z40" s="275">
        <v>3639</v>
      </c>
      <c r="AA40" s="321">
        <v>32220</v>
      </c>
      <c r="AB40" s="275">
        <v>4310</v>
      </c>
      <c r="AC40" s="275">
        <v>1081</v>
      </c>
      <c r="AD40" s="275">
        <v>1919</v>
      </c>
      <c r="AE40" s="275">
        <v>7814</v>
      </c>
      <c r="AF40" s="321">
        <v>15936</v>
      </c>
      <c r="AG40" s="577"/>
      <c r="AH40" s="577"/>
    </row>
    <row r="41" spans="2:34">
      <c r="B41" s="285" t="str">
        <f>names!$A289</f>
        <v>Rafineria</v>
      </c>
      <c r="C41" s="286">
        <v>226</v>
      </c>
      <c r="D41" s="286">
        <v>565</v>
      </c>
      <c r="E41" s="286">
        <v>885</v>
      </c>
      <c r="F41" s="286">
        <v>-29</v>
      </c>
      <c r="G41" s="324">
        <v>1647</v>
      </c>
      <c r="H41" s="286">
        <v>-637</v>
      </c>
      <c r="I41" s="286">
        <v>320</v>
      </c>
      <c r="J41" s="286">
        <v>-653</v>
      </c>
      <c r="K41" s="286">
        <v>-339</v>
      </c>
      <c r="L41" s="324">
        <v>-1309</v>
      </c>
      <c r="M41" s="286">
        <v>-309</v>
      </c>
      <c r="N41" s="286">
        <v>-69</v>
      </c>
      <c r="O41" s="286">
        <v>857</v>
      </c>
      <c r="P41" s="286">
        <v>1758</v>
      </c>
      <c r="Q41" s="324">
        <v>2237</v>
      </c>
      <c r="R41" s="286">
        <v>509</v>
      </c>
      <c r="S41" s="286">
        <v>1478</v>
      </c>
      <c r="T41" s="286">
        <v>6952</v>
      </c>
      <c r="U41" s="286">
        <v>7218</v>
      </c>
      <c r="V41" s="324">
        <v>16157</v>
      </c>
      <c r="W41" s="286">
        <v>5120</v>
      </c>
      <c r="X41" s="286">
        <v>2135</v>
      </c>
      <c r="Y41" s="286">
        <v>1500</v>
      </c>
      <c r="Z41" s="286">
        <v>-932</v>
      </c>
      <c r="AA41" s="324">
        <v>7775</v>
      </c>
      <c r="AB41" s="286">
        <v>1875</v>
      </c>
      <c r="AC41" s="286">
        <v>2195</v>
      </c>
      <c r="AD41" s="286">
        <v>-2264</v>
      </c>
      <c r="AE41" s="286">
        <v>1026</v>
      </c>
      <c r="AF41" s="324">
        <v>3037</v>
      </c>
      <c r="AG41" s="577"/>
      <c r="AH41" s="577"/>
    </row>
    <row r="42" spans="2:34">
      <c r="B42" s="285" t="str">
        <f>names!$A290</f>
        <v>Petrochemia</v>
      </c>
      <c r="C42" s="286">
        <v>508</v>
      </c>
      <c r="D42" s="286">
        <v>505</v>
      </c>
      <c r="E42" s="286">
        <v>507</v>
      </c>
      <c r="F42" s="286">
        <v>-64</v>
      </c>
      <c r="G42" s="324">
        <v>1456</v>
      </c>
      <c r="H42" s="286">
        <v>539</v>
      </c>
      <c r="I42" s="286">
        <v>20</v>
      </c>
      <c r="J42" s="286">
        <v>277</v>
      </c>
      <c r="K42" s="286">
        <v>549</v>
      </c>
      <c r="L42" s="324">
        <v>1385</v>
      </c>
      <c r="M42" s="286">
        <v>623</v>
      </c>
      <c r="N42" s="286">
        <v>788</v>
      </c>
      <c r="O42" s="286">
        <v>772</v>
      </c>
      <c r="P42" s="286">
        <v>1113</v>
      </c>
      <c r="Q42" s="324">
        <v>3296</v>
      </c>
      <c r="R42" s="286">
        <v>182</v>
      </c>
      <c r="S42" s="286">
        <v>1370</v>
      </c>
      <c r="T42" s="286">
        <v>424</v>
      </c>
      <c r="U42" s="286">
        <v>202</v>
      </c>
      <c r="V42" s="324">
        <v>2178</v>
      </c>
      <c r="W42" s="286">
        <v>-193</v>
      </c>
      <c r="X42" s="286">
        <v>-411</v>
      </c>
      <c r="Y42" s="286">
        <v>-425</v>
      </c>
      <c r="Z42" s="286">
        <v>-10738</v>
      </c>
      <c r="AA42" s="324">
        <v>-11748</v>
      </c>
      <c r="AB42" s="286">
        <v>-858</v>
      </c>
      <c r="AC42" s="286">
        <v>-836</v>
      </c>
      <c r="AD42" s="286">
        <v>-1258</v>
      </c>
      <c r="AE42" s="286">
        <v>-955</v>
      </c>
      <c r="AF42" s="324">
        <v>-3954</v>
      </c>
      <c r="AG42" s="577"/>
      <c r="AH42" s="577"/>
    </row>
    <row r="43" spans="2:34">
      <c r="B43" s="285" t="str">
        <f>names!$A291</f>
        <v>Energetyka</v>
      </c>
      <c r="C43" s="286">
        <v>133</v>
      </c>
      <c r="D43" s="286">
        <v>326</v>
      </c>
      <c r="E43" s="286">
        <v>406</v>
      </c>
      <c r="F43" s="286">
        <v>262</v>
      </c>
      <c r="G43" s="324">
        <v>1127</v>
      </c>
      <c r="H43" s="286">
        <v>371</v>
      </c>
      <c r="I43" s="286">
        <v>4522</v>
      </c>
      <c r="J43" s="286">
        <v>644</v>
      </c>
      <c r="K43" s="286">
        <v>980</v>
      </c>
      <c r="L43" s="324">
        <v>6517</v>
      </c>
      <c r="M43" s="286">
        <v>864</v>
      </c>
      <c r="N43" s="286">
        <v>773</v>
      </c>
      <c r="O43" s="286">
        <v>646</v>
      </c>
      <c r="P43" s="286">
        <v>-268</v>
      </c>
      <c r="Q43" s="324">
        <v>2015</v>
      </c>
      <c r="R43" s="286">
        <v>594</v>
      </c>
      <c r="S43" s="286">
        <v>743</v>
      </c>
      <c r="T43" s="286">
        <v>1188</v>
      </c>
      <c r="U43" s="286">
        <v>-637</v>
      </c>
      <c r="V43" s="324">
        <v>1888</v>
      </c>
      <c r="W43" s="286">
        <v>2284</v>
      </c>
      <c r="X43" s="286">
        <v>-25</v>
      </c>
      <c r="Y43" s="286">
        <v>770</v>
      </c>
      <c r="Z43" s="286">
        <v>-596</v>
      </c>
      <c r="AA43" s="324">
        <v>2526</v>
      </c>
      <c r="AB43" s="286">
        <v>1830</v>
      </c>
      <c r="AC43" s="286">
        <v>1344</v>
      </c>
      <c r="AD43" s="286">
        <v>295</v>
      </c>
      <c r="AE43" s="286">
        <v>1549</v>
      </c>
      <c r="AF43" s="324">
        <v>5336</v>
      </c>
      <c r="AG43" s="577"/>
      <c r="AH43" s="577"/>
    </row>
    <row r="44" spans="2:34">
      <c r="B44" s="285" t="str">
        <f>names!$A292</f>
        <v>Detal</v>
      </c>
      <c r="C44" s="286">
        <v>521</v>
      </c>
      <c r="D44" s="286">
        <v>702</v>
      </c>
      <c r="E44" s="286">
        <v>766</v>
      </c>
      <c r="F44" s="286">
        <v>442</v>
      </c>
      <c r="G44" s="324">
        <v>2431</v>
      </c>
      <c r="H44" s="286">
        <v>535</v>
      </c>
      <c r="I44" s="286">
        <v>535</v>
      </c>
      <c r="J44" s="286">
        <v>857</v>
      </c>
      <c r="K44" s="286">
        <v>546</v>
      </c>
      <c r="L44" s="324">
        <v>2473</v>
      </c>
      <c r="M44" s="286">
        <v>340</v>
      </c>
      <c r="N44" s="286">
        <v>625</v>
      </c>
      <c r="O44" s="286">
        <v>743</v>
      </c>
      <c r="P44" s="286">
        <v>337</v>
      </c>
      <c r="Q44" s="324">
        <v>2045</v>
      </c>
      <c r="R44" s="286">
        <v>377</v>
      </c>
      <c r="S44" s="286">
        <v>485</v>
      </c>
      <c r="T44" s="286">
        <v>641</v>
      </c>
      <c r="U44" s="286">
        <v>385</v>
      </c>
      <c r="V44" s="324">
        <v>1888</v>
      </c>
      <c r="W44" s="286">
        <v>-3</v>
      </c>
      <c r="X44" s="286">
        <v>403</v>
      </c>
      <c r="Y44" s="286">
        <v>348</v>
      </c>
      <c r="Z44" s="286">
        <v>437</v>
      </c>
      <c r="AA44" s="324">
        <v>1175</v>
      </c>
      <c r="AB44" s="286">
        <v>236</v>
      </c>
      <c r="AC44" s="286">
        <v>609</v>
      </c>
      <c r="AD44" s="286">
        <v>782</v>
      </c>
      <c r="AE44" s="286">
        <v>212</v>
      </c>
      <c r="AF44" s="324">
        <v>1839</v>
      </c>
      <c r="AG44" s="577"/>
      <c r="AH44" s="577"/>
    </row>
    <row r="45" spans="2:34">
      <c r="B45" s="285" t="str">
        <f>names!$A293</f>
        <v>Wydobycie</v>
      </c>
      <c r="C45" s="286">
        <v>23</v>
      </c>
      <c r="D45" s="286">
        <v>16</v>
      </c>
      <c r="E45" s="286">
        <v>-77</v>
      </c>
      <c r="F45" s="286">
        <v>-117</v>
      </c>
      <c r="G45" s="324">
        <v>-155</v>
      </c>
      <c r="H45" s="286">
        <v>-371</v>
      </c>
      <c r="I45" s="286">
        <v>-201</v>
      </c>
      <c r="J45" s="286">
        <v>-18</v>
      </c>
      <c r="K45" s="286">
        <v>-860</v>
      </c>
      <c r="L45" s="324">
        <v>-1450</v>
      </c>
      <c r="M45" s="286">
        <v>-61</v>
      </c>
      <c r="N45" s="286">
        <v>-22</v>
      </c>
      <c r="O45" s="286">
        <v>50</v>
      </c>
      <c r="P45" s="286">
        <v>1078</v>
      </c>
      <c r="Q45" s="324">
        <v>1045</v>
      </c>
      <c r="R45" s="286">
        <v>92</v>
      </c>
      <c r="S45" s="286">
        <v>199</v>
      </c>
      <c r="T45" s="286">
        <v>537</v>
      </c>
      <c r="U45" s="286">
        <v>5229</v>
      </c>
      <c r="V45" s="324">
        <v>6057</v>
      </c>
      <c r="W45" s="286">
        <v>-1571</v>
      </c>
      <c r="X45" s="286">
        <v>-1424</v>
      </c>
      <c r="Y45" s="286">
        <v>-1513</v>
      </c>
      <c r="Z45" s="286">
        <v>-4856</v>
      </c>
      <c r="AA45" s="324">
        <v>-9077</v>
      </c>
      <c r="AB45" s="286">
        <v>-5433</v>
      </c>
      <c r="AC45" s="286">
        <v>-5310</v>
      </c>
      <c r="AD45" s="286">
        <v>1961</v>
      </c>
      <c r="AE45" s="286">
        <v>2747</v>
      </c>
      <c r="AF45" s="324">
        <v>-5919</v>
      </c>
      <c r="AG45" s="577"/>
      <c r="AH45" s="577"/>
    </row>
    <row r="46" spans="2:34">
      <c r="B46" s="285" t="str">
        <f>names!$A294</f>
        <v>Gaz</v>
      </c>
      <c r="C46" s="287" t="s">
        <v>249</v>
      </c>
      <c r="D46" s="287" t="s">
        <v>249</v>
      </c>
      <c r="E46" s="287" t="s">
        <v>249</v>
      </c>
      <c r="F46" s="287" t="s">
        <v>249</v>
      </c>
      <c r="G46" s="336" t="s">
        <v>249</v>
      </c>
      <c r="H46" s="287" t="s">
        <v>249</v>
      </c>
      <c r="I46" s="287" t="s">
        <v>249</v>
      </c>
      <c r="J46" s="287" t="s">
        <v>249</v>
      </c>
      <c r="K46" s="287" t="s">
        <v>249</v>
      </c>
      <c r="L46" s="336" t="s">
        <v>249</v>
      </c>
      <c r="M46" s="287" t="s">
        <v>249</v>
      </c>
      <c r="N46" s="287" t="s">
        <v>249</v>
      </c>
      <c r="O46" s="287" t="s">
        <v>249</v>
      </c>
      <c r="P46" s="287" t="s">
        <v>249</v>
      </c>
      <c r="Q46" s="336" t="s">
        <v>249</v>
      </c>
      <c r="R46" s="287" t="s">
        <v>249</v>
      </c>
      <c r="S46" s="287" t="s">
        <v>249</v>
      </c>
      <c r="T46" s="287" t="s">
        <v>249</v>
      </c>
      <c r="U46" s="287">
        <v>5583</v>
      </c>
      <c r="V46" s="324">
        <v>5583</v>
      </c>
      <c r="W46" s="287">
        <v>8746</v>
      </c>
      <c r="X46" s="287">
        <v>7323</v>
      </c>
      <c r="Y46" s="287">
        <v>5690</v>
      </c>
      <c r="Z46" s="287">
        <v>20796</v>
      </c>
      <c r="AA46" s="324">
        <v>43568</v>
      </c>
      <c r="AB46" s="287">
        <v>7403</v>
      </c>
      <c r="AC46" s="287">
        <v>3611</v>
      </c>
      <c r="AD46" s="287">
        <v>2931</v>
      </c>
      <c r="AE46" s="287">
        <v>3767</v>
      </c>
      <c r="AF46" s="324">
        <v>17917</v>
      </c>
      <c r="AG46" s="577"/>
      <c r="AH46" s="577"/>
    </row>
    <row r="47" spans="2:34">
      <c r="B47" s="285" t="str">
        <f>names!$A295</f>
        <v xml:space="preserve">  Corporate functions 1</v>
      </c>
      <c r="C47" s="286">
        <v>-240</v>
      </c>
      <c r="D47" s="286">
        <v>-245</v>
      </c>
      <c r="E47" s="286">
        <v>-286</v>
      </c>
      <c r="F47" s="286">
        <v>-239</v>
      </c>
      <c r="G47" s="324">
        <v>-1010</v>
      </c>
      <c r="H47" s="286">
        <v>-269</v>
      </c>
      <c r="I47" s="286">
        <v>-395</v>
      </c>
      <c r="J47" s="286">
        <v>-317</v>
      </c>
      <c r="K47" s="286">
        <v>-353</v>
      </c>
      <c r="L47" s="324">
        <v>-1334</v>
      </c>
      <c r="M47" s="286">
        <v>-347</v>
      </c>
      <c r="N47" s="286">
        <v>-303</v>
      </c>
      <c r="O47" s="286">
        <v>-100</v>
      </c>
      <c r="P47" s="286">
        <v>-264</v>
      </c>
      <c r="Q47" s="324">
        <v>-1014</v>
      </c>
      <c r="R47" s="286">
        <v>-395</v>
      </c>
      <c r="S47" s="286">
        <v>-378</v>
      </c>
      <c r="T47" s="286">
        <v>8146</v>
      </c>
      <c r="U47" s="286">
        <v>6140</v>
      </c>
      <c r="V47" s="324">
        <v>13513</v>
      </c>
      <c r="W47" s="286">
        <v>-486</v>
      </c>
      <c r="X47" s="286">
        <v>-530</v>
      </c>
      <c r="Y47" s="286">
        <v>-518</v>
      </c>
      <c r="Z47" s="286">
        <v>-482</v>
      </c>
      <c r="AA47" s="324">
        <v>-1995</v>
      </c>
      <c r="AB47" s="286">
        <v>-740</v>
      </c>
      <c r="AC47" s="286">
        <v>-553</v>
      </c>
      <c r="AD47" s="286">
        <v>-528</v>
      </c>
      <c r="AE47" s="286">
        <v>-532</v>
      </c>
      <c r="AF47" s="324">
        <v>-2338</v>
      </c>
      <c r="AG47" s="577"/>
      <c r="AH47" s="577"/>
    </row>
    <row r="48" spans="2:34">
      <c r="B48" s="285" t="str">
        <f>names!$A296</f>
        <v>Wyłączenia</v>
      </c>
      <c r="C48" s="286">
        <v>0</v>
      </c>
      <c r="D48" s="286">
        <v>0</v>
      </c>
      <c r="E48" s="286">
        <v>0</v>
      </c>
      <c r="F48" s="286">
        <v>0</v>
      </c>
      <c r="G48" s="324">
        <v>0</v>
      </c>
      <c r="H48" s="286">
        <v>0</v>
      </c>
      <c r="I48" s="286">
        <v>0</v>
      </c>
      <c r="J48" s="286">
        <v>0</v>
      </c>
      <c r="K48" s="286">
        <v>0</v>
      </c>
      <c r="L48" s="324">
        <v>0</v>
      </c>
      <c r="M48" s="286">
        <v>0</v>
      </c>
      <c r="N48" s="286">
        <v>0</v>
      </c>
      <c r="O48" s="286">
        <v>0</v>
      </c>
      <c r="P48" s="286">
        <v>0</v>
      </c>
      <c r="Q48" s="324">
        <v>0</v>
      </c>
      <c r="R48" s="286">
        <v>0</v>
      </c>
      <c r="S48" s="286">
        <v>0</v>
      </c>
      <c r="T48" s="286">
        <v>-5</v>
      </c>
      <c r="U48" s="286">
        <v>-6</v>
      </c>
      <c r="V48" s="324">
        <v>-11</v>
      </c>
      <c r="W48" s="286">
        <v>-8</v>
      </c>
      <c r="X48" s="286">
        <v>11</v>
      </c>
      <c r="Y48" s="286">
        <v>-17</v>
      </c>
      <c r="Z48" s="286">
        <v>10</v>
      </c>
      <c r="AA48" s="324">
        <v>-4</v>
      </c>
      <c r="AB48" s="286">
        <v>-3</v>
      </c>
      <c r="AC48" s="286">
        <v>21</v>
      </c>
      <c r="AD48" s="286">
        <v>0</v>
      </c>
      <c r="AE48" s="286">
        <v>0</v>
      </c>
      <c r="AF48" s="324">
        <v>18</v>
      </c>
      <c r="AG48" s="577"/>
      <c r="AH48" s="577"/>
    </row>
    <row r="49" spans="2:34" ht="13.5" thickBot="1">
      <c r="B49" s="293" t="str">
        <f>names!$A297</f>
        <v>Zysk/(Strata) z działalności operacyjnej (EBIT)***</v>
      </c>
      <c r="C49" s="295">
        <v>996</v>
      </c>
      <c r="D49" s="295">
        <v>2086</v>
      </c>
      <c r="E49" s="295">
        <v>1807</v>
      </c>
      <c r="F49" s="295">
        <v>476</v>
      </c>
      <c r="G49" s="325">
        <v>5365.0000000000018</v>
      </c>
      <c r="H49" s="295">
        <v>-1904</v>
      </c>
      <c r="I49" s="295">
        <v>4335</v>
      </c>
      <c r="J49" s="295">
        <v>1057</v>
      </c>
      <c r="K49" s="295">
        <v>420</v>
      </c>
      <c r="L49" s="325">
        <v>3908</v>
      </c>
      <c r="M49" s="295">
        <v>2252</v>
      </c>
      <c r="N49" s="295">
        <v>2755</v>
      </c>
      <c r="O49" s="295">
        <v>3858</v>
      </c>
      <c r="P49" s="295">
        <v>5005</v>
      </c>
      <c r="Q49" s="325">
        <v>13870</v>
      </c>
      <c r="R49" s="295">
        <v>3533</v>
      </c>
      <c r="S49" s="295">
        <v>5218</v>
      </c>
      <c r="T49" s="295">
        <v>17330</v>
      </c>
      <c r="U49" s="295">
        <v>22269</v>
      </c>
      <c r="V49" s="325">
        <v>48350</v>
      </c>
      <c r="W49" s="295">
        <v>12718</v>
      </c>
      <c r="X49" s="295">
        <v>7098</v>
      </c>
      <c r="Y49" s="295">
        <v>7118</v>
      </c>
      <c r="Z49" s="295">
        <v>3012</v>
      </c>
      <c r="AA49" s="325">
        <v>31321</v>
      </c>
      <c r="AB49" s="295">
        <v>4374</v>
      </c>
      <c r="AC49" s="295">
        <v>1114</v>
      </c>
      <c r="AD49" s="295">
        <v>1595</v>
      </c>
      <c r="AE49" s="295">
        <v>7770</v>
      </c>
      <c r="AF49" s="325">
        <v>15665</v>
      </c>
      <c r="AG49" s="577"/>
      <c r="AH49" s="577"/>
    </row>
    <row r="50" spans="2:34">
      <c r="B50" s="297" t="str">
        <f>names!$A298</f>
        <v>Zysk/(Strata) netto</v>
      </c>
      <c r="C50" s="279">
        <v>849</v>
      </c>
      <c r="D50" s="279">
        <v>1601</v>
      </c>
      <c r="E50" s="279">
        <v>1266</v>
      </c>
      <c r="F50" s="279">
        <v>582</v>
      </c>
      <c r="G50" s="322">
        <v>4298</v>
      </c>
      <c r="H50" s="279">
        <v>-2245</v>
      </c>
      <c r="I50" s="279">
        <v>4368</v>
      </c>
      <c r="J50" s="279">
        <v>677</v>
      </c>
      <c r="K50" s="279">
        <v>25</v>
      </c>
      <c r="L50" s="322">
        <v>2825</v>
      </c>
      <c r="M50" s="279">
        <v>1872</v>
      </c>
      <c r="N50" s="279">
        <v>2244</v>
      </c>
      <c r="O50" s="279">
        <v>2928</v>
      </c>
      <c r="P50" s="279">
        <v>4144</v>
      </c>
      <c r="Q50" s="322">
        <v>11188</v>
      </c>
      <c r="R50" s="279">
        <v>2845</v>
      </c>
      <c r="S50" s="279">
        <v>3683</v>
      </c>
      <c r="T50" s="279">
        <v>14751</v>
      </c>
      <c r="U50" s="279">
        <v>18540</v>
      </c>
      <c r="V50" s="322">
        <v>39819</v>
      </c>
      <c r="W50" s="279">
        <v>9731</v>
      </c>
      <c r="X50" s="279">
        <v>6019</v>
      </c>
      <c r="Y50" s="279">
        <v>4556</v>
      </c>
      <c r="Z50" s="279">
        <v>923</v>
      </c>
      <c r="AA50" s="322">
        <v>20969</v>
      </c>
      <c r="AB50" s="279">
        <v>2798</v>
      </c>
      <c r="AC50" s="279">
        <v>26</v>
      </c>
      <c r="AD50" s="279">
        <v>188</v>
      </c>
      <c r="AE50" s="279">
        <v>4645</v>
      </c>
      <c r="AF50" s="322">
        <v>7953</v>
      </c>
      <c r="AG50" s="577"/>
      <c r="AH50" s="577"/>
    </row>
    <row r="51" spans="2:34" ht="13.5" thickBot="1">
      <c r="B51" s="298" t="str">
        <f>names!$A299</f>
        <v>Zysk/(Strata) akcjonariuszy Jednostki Dominującej</v>
      </c>
      <c r="C51" s="289">
        <v>849</v>
      </c>
      <c r="D51" s="289">
        <v>1602</v>
      </c>
      <c r="E51" s="289">
        <v>1266</v>
      </c>
      <c r="F51" s="289">
        <v>583</v>
      </c>
      <c r="G51" s="326">
        <v>4300</v>
      </c>
      <c r="H51" s="289">
        <v>-2244</v>
      </c>
      <c r="I51" s="289">
        <v>4350</v>
      </c>
      <c r="J51" s="289">
        <v>651</v>
      </c>
      <c r="K51" s="289">
        <v>-2</v>
      </c>
      <c r="L51" s="326">
        <v>2755</v>
      </c>
      <c r="M51" s="289">
        <v>1845</v>
      </c>
      <c r="N51" s="289">
        <v>2227</v>
      </c>
      <c r="O51" s="289">
        <v>2909</v>
      </c>
      <c r="P51" s="289">
        <v>4141</v>
      </c>
      <c r="Q51" s="326">
        <v>11122</v>
      </c>
      <c r="R51" s="289">
        <v>2770</v>
      </c>
      <c r="S51" s="289">
        <v>3612</v>
      </c>
      <c r="T51" s="289">
        <v>14679</v>
      </c>
      <c r="U51" s="289">
        <v>18616</v>
      </c>
      <c r="V51" s="326">
        <v>39677</v>
      </c>
      <c r="W51" s="289">
        <v>9324</v>
      </c>
      <c r="X51" s="289">
        <v>6065</v>
      </c>
      <c r="Y51" s="289">
        <v>4561</v>
      </c>
      <c r="Z51" s="289">
        <v>972</v>
      </c>
      <c r="AA51" s="326">
        <v>20922</v>
      </c>
      <c r="AB51" s="289">
        <v>2778</v>
      </c>
      <c r="AC51" s="289">
        <v>20</v>
      </c>
      <c r="AD51" s="289">
        <v>222</v>
      </c>
      <c r="AE51" s="289">
        <v>4664</v>
      </c>
      <c r="AF51" s="326">
        <v>7980</v>
      </c>
      <c r="AG51" s="577"/>
      <c r="AH51" s="577"/>
    </row>
    <row r="52" spans="2:34">
      <c r="B52" s="300" t="str">
        <f>names!$A300</f>
        <v>Aktywa razem</v>
      </c>
      <c r="C52" s="302">
        <v>68983</v>
      </c>
      <c r="D52" s="302">
        <v>70770</v>
      </c>
      <c r="E52" s="302">
        <v>71551</v>
      </c>
      <c r="F52" s="302">
        <v>71202</v>
      </c>
      <c r="G52" s="327">
        <v>71202</v>
      </c>
      <c r="H52" s="302">
        <v>68361</v>
      </c>
      <c r="I52" s="302">
        <v>82508</v>
      </c>
      <c r="J52" s="302">
        <v>82227</v>
      </c>
      <c r="K52" s="302">
        <v>84048</v>
      </c>
      <c r="L52" s="327">
        <v>84048</v>
      </c>
      <c r="M52" s="302">
        <v>92120</v>
      </c>
      <c r="N52" s="302">
        <v>95964</v>
      </c>
      <c r="O52" s="302">
        <v>101341</v>
      </c>
      <c r="P52" s="302">
        <v>106754</v>
      </c>
      <c r="Q52" s="327">
        <v>106754</v>
      </c>
      <c r="R52" s="302">
        <v>123006</v>
      </c>
      <c r="S52" s="302">
        <v>122140</v>
      </c>
      <c r="T52" s="302">
        <v>168920</v>
      </c>
      <c r="U52" s="302">
        <v>313177</v>
      </c>
      <c r="V52" s="327">
        <v>313177</v>
      </c>
      <c r="W52" s="302">
        <v>280522</v>
      </c>
      <c r="X52" s="302">
        <v>251640</v>
      </c>
      <c r="Y52" s="302">
        <v>255837</v>
      </c>
      <c r="Z52" s="302">
        <v>264463</v>
      </c>
      <c r="AA52" s="327">
        <v>264463</v>
      </c>
      <c r="AB52" s="302">
        <v>263203</v>
      </c>
      <c r="AC52" s="302">
        <v>259699</v>
      </c>
      <c r="AD52" s="302">
        <v>252904</v>
      </c>
      <c r="AE52" s="302">
        <v>262742</v>
      </c>
      <c r="AF52" s="327">
        <v>262742</v>
      </c>
      <c r="AG52" s="577"/>
      <c r="AH52" s="577"/>
    </row>
    <row r="53" spans="2:34">
      <c r="B53" s="300" t="str">
        <f>names!$A301</f>
        <v>Kapitał własny</v>
      </c>
      <c r="C53" s="302">
        <v>36425</v>
      </c>
      <c r="D53" s="302">
        <v>36641</v>
      </c>
      <c r="E53" s="302">
        <v>38227</v>
      </c>
      <c r="F53" s="302">
        <v>38607</v>
      </c>
      <c r="G53" s="327">
        <v>38607</v>
      </c>
      <c r="H53" s="302">
        <v>36332</v>
      </c>
      <c r="I53" s="302">
        <v>41897</v>
      </c>
      <c r="J53" s="302">
        <v>42264</v>
      </c>
      <c r="K53" s="302">
        <v>42389</v>
      </c>
      <c r="L53" s="327">
        <v>42389</v>
      </c>
      <c r="M53" s="302">
        <v>44395</v>
      </c>
      <c r="N53" s="302">
        <v>45420</v>
      </c>
      <c r="O53" s="302">
        <v>48317</v>
      </c>
      <c r="P53" s="302">
        <v>52578</v>
      </c>
      <c r="Q53" s="327">
        <v>52578</v>
      </c>
      <c r="R53" s="302">
        <v>55561</v>
      </c>
      <c r="S53" s="302">
        <v>58108</v>
      </c>
      <c r="T53" s="302">
        <v>87047</v>
      </c>
      <c r="U53" s="302">
        <v>143110</v>
      </c>
      <c r="V53" s="327">
        <v>143110</v>
      </c>
      <c r="W53" s="302">
        <v>151524</v>
      </c>
      <c r="X53" s="302">
        <v>148881</v>
      </c>
      <c r="Y53" s="302">
        <v>152379</v>
      </c>
      <c r="Z53" s="302">
        <v>153420</v>
      </c>
      <c r="AA53" s="327">
        <v>153420</v>
      </c>
      <c r="AB53" s="302">
        <v>153983</v>
      </c>
      <c r="AC53" s="302">
        <v>149265</v>
      </c>
      <c r="AD53" s="302">
        <v>148402</v>
      </c>
      <c r="AE53" s="302">
        <v>153262</v>
      </c>
      <c r="AF53" s="327">
        <v>153262</v>
      </c>
      <c r="AG53" s="577"/>
      <c r="AH53" s="577"/>
    </row>
    <row r="54" spans="2:34" ht="13.5" thickBot="1">
      <c r="B54" s="303" t="str">
        <f>names!$A302</f>
        <v>Dług netto</v>
      </c>
      <c r="C54" s="305">
        <v>5051</v>
      </c>
      <c r="D54" s="305">
        <v>2417</v>
      </c>
      <c r="E54" s="305">
        <v>1969</v>
      </c>
      <c r="F54" s="305">
        <v>2448</v>
      </c>
      <c r="G54" s="328">
        <v>2448</v>
      </c>
      <c r="H54" s="305">
        <v>4181</v>
      </c>
      <c r="I54" s="305">
        <v>10870</v>
      </c>
      <c r="J54" s="305">
        <v>11864</v>
      </c>
      <c r="K54" s="305">
        <v>13120</v>
      </c>
      <c r="L54" s="328">
        <v>13120</v>
      </c>
      <c r="M54" s="513">
        <v>13468</v>
      </c>
      <c r="N54" s="305">
        <v>11534</v>
      </c>
      <c r="O54" s="305">
        <v>11369</v>
      </c>
      <c r="P54" s="305">
        <v>12275</v>
      </c>
      <c r="Q54" s="328">
        <v>12275</v>
      </c>
      <c r="R54" s="305">
        <v>15588</v>
      </c>
      <c r="S54" s="305">
        <v>11627</v>
      </c>
      <c r="T54" s="305">
        <v>4870</v>
      </c>
      <c r="U54" s="305">
        <v>-1848</v>
      </c>
      <c r="V54" s="328">
        <v>-1848</v>
      </c>
      <c r="W54" s="305">
        <v>-11149</v>
      </c>
      <c r="X54" s="305">
        <v>-12340</v>
      </c>
      <c r="Y54" s="682">
        <v>-991</v>
      </c>
      <c r="Z54" s="683">
        <v>1807</v>
      </c>
      <c r="AA54" s="684">
        <v>1807</v>
      </c>
      <c r="AB54" s="683">
        <v>780</v>
      </c>
      <c r="AC54" s="683">
        <v>2362</v>
      </c>
      <c r="AD54" s="682">
        <v>820</v>
      </c>
      <c r="AE54" s="682">
        <v>7024</v>
      </c>
      <c r="AF54" s="328">
        <v>7024</v>
      </c>
      <c r="AG54" s="577"/>
      <c r="AH54" s="577"/>
    </row>
    <row r="55" spans="2:34">
      <c r="B55" s="300" t="str">
        <f>names!$A303</f>
        <v>Środki pieniężne netto z działalności operacyjnej</v>
      </c>
      <c r="C55" s="302">
        <v>1191</v>
      </c>
      <c r="D55" s="302">
        <v>3494</v>
      </c>
      <c r="E55" s="302">
        <v>3431</v>
      </c>
      <c r="F55" s="302">
        <v>1203</v>
      </c>
      <c r="G55" s="327">
        <v>9319</v>
      </c>
      <c r="H55" s="302">
        <v>530</v>
      </c>
      <c r="I55" s="302">
        <v>3342</v>
      </c>
      <c r="J55" s="302">
        <v>2114</v>
      </c>
      <c r="K55" s="302">
        <v>1261</v>
      </c>
      <c r="L55" s="327">
        <v>7247</v>
      </c>
      <c r="M55" s="302">
        <v>3858</v>
      </c>
      <c r="N55" s="302">
        <v>5117</v>
      </c>
      <c r="O55" s="302">
        <v>4286</v>
      </c>
      <c r="P55" s="302">
        <v>34</v>
      </c>
      <c r="Q55" s="327">
        <v>13295</v>
      </c>
      <c r="R55" s="302">
        <v>598</v>
      </c>
      <c r="S55" s="302">
        <v>7931</v>
      </c>
      <c r="T55" s="302">
        <v>8520</v>
      </c>
      <c r="U55" s="302">
        <v>15589</v>
      </c>
      <c r="V55" s="327">
        <v>32638</v>
      </c>
      <c r="W55" s="302">
        <v>23600</v>
      </c>
      <c r="X55" s="302">
        <v>7139</v>
      </c>
      <c r="Y55" s="302">
        <v>6045</v>
      </c>
      <c r="Z55" s="302">
        <v>5130</v>
      </c>
      <c r="AA55" s="327">
        <v>41914</v>
      </c>
      <c r="AB55" s="302">
        <v>11670</v>
      </c>
      <c r="AC55" s="302">
        <v>5963</v>
      </c>
      <c r="AD55" s="302">
        <v>8572</v>
      </c>
      <c r="AE55" s="302">
        <v>10429</v>
      </c>
      <c r="AF55" s="327">
        <v>36634</v>
      </c>
      <c r="AG55" s="577"/>
      <c r="AH55" s="577"/>
    </row>
    <row r="56" spans="2:34">
      <c r="B56" s="300" t="str">
        <f>names!$A304</f>
        <v>Środki pieniężne netto z działalności inwestycyjnej</v>
      </c>
      <c r="C56" s="302">
        <v>-666</v>
      </c>
      <c r="D56" s="302">
        <v>-675</v>
      </c>
      <c r="E56" s="302">
        <v>-1032</v>
      </c>
      <c r="F56" s="302">
        <v>-1621</v>
      </c>
      <c r="G56" s="327">
        <v>-3994</v>
      </c>
      <c r="H56" s="302">
        <v>-1527</v>
      </c>
      <c r="I56" s="302">
        <v>-2569</v>
      </c>
      <c r="J56" s="302">
        <v>-2326</v>
      </c>
      <c r="K56" s="302">
        <v>-2073</v>
      </c>
      <c r="L56" s="327">
        <v>-8495</v>
      </c>
      <c r="M56" s="302">
        <v>-3746</v>
      </c>
      <c r="N56" s="302">
        <v>-2879</v>
      </c>
      <c r="O56" s="302">
        <v>-2204</v>
      </c>
      <c r="P56" s="302">
        <v>-910</v>
      </c>
      <c r="Q56" s="327">
        <v>-9739</v>
      </c>
      <c r="R56" s="302">
        <v>-3450</v>
      </c>
      <c r="S56" s="302">
        <v>-3560</v>
      </c>
      <c r="T56" s="302">
        <v>-9</v>
      </c>
      <c r="U56" s="302">
        <v>7254</v>
      </c>
      <c r="V56" s="327">
        <v>235</v>
      </c>
      <c r="W56" s="302">
        <v>-13366</v>
      </c>
      <c r="X56" s="302">
        <v>-4917</v>
      </c>
      <c r="Y56" s="302">
        <v>-10499</v>
      </c>
      <c r="Z56" s="302">
        <v>-7627</v>
      </c>
      <c r="AA56" s="327">
        <v>-36409</v>
      </c>
      <c r="AB56" s="302">
        <v>-9778</v>
      </c>
      <c r="AC56" s="302">
        <v>-6938</v>
      </c>
      <c r="AD56" s="302">
        <v>-6523</v>
      </c>
      <c r="AE56" s="302">
        <v>-10812</v>
      </c>
      <c r="AF56" s="327">
        <v>-34051</v>
      </c>
      <c r="AG56" s="577"/>
      <c r="AH56" s="577"/>
    </row>
    <row r="57" spans="2:34" ht="13.5" thickBot="1">
      <c r="B57" s="300" t="str">
        <f>names!$A305</f>
        <v>Zwiększenie aktywów trwałych ****</v>
      </c>
      <c r="C57" s="302">
        <v>749</v>
      </c>
      <c r="D57" s="302">
        <v>994</v>
      </c>
      <c r="E57" s="302">
        <v>1319</v>
      </c>
      <c r="F57" s="302">
        <v>2395</v>
      </c>
      <c r="G57" s="327">
        <v>5457</v>
      </c>
      <c r="H57" s="302">
        <v>1244</v>
      </c>
      <c r="I57" s="305">
        <v>2184</v>
      </c>
      <c r="J57" s="305">
        <v>2031</v>
      </c>
      <c r="K57" s="305">
        <v>3533</v>
      </c>
      <c r="L57" s="328">
        <v>8992</v>
      </c>
      <c r="M57" s="302">
        <v>1773</v>
      </c>
      <c r="N57" s="302">
        <v>2395</v>
      </c>
      <c r="O57" s="302">
        <v>2481</v>
      </c>
      <c r="P57" s="305">
        <v>3241</v>
      </c>
      <c r="Q57" s="328">
        <v>9890</v>
      </c>
      <c r="R57" s="302">
        <v>3044</v>
      </c>
      <c r="S57" s="302">
        <v>3224</v>
      </c>
      <c r="T57" s="302">
        <v>4444</v>
      </c>
      <c r="U57" s="302">
        <v>8917</v>
      </c>
      <c r="V57" s="328">
        <v>19629</v>
      </c>
      <c r="W57" s="302">
        <v>5305</v>
      </c>
      <c r="X57" s="302">
        <v>7253</v>
      </c>
      <c r="Y57" s="302">
        <v>7875</v>
      </c>
      <c r="Z57" s="302">
        <v>12181</v>
      </c>
      <c r="AA57" s="328">
        <v>32614</v>
      </c>
      <c r="AB57" s="302">
        <v>6399</v>
      </c>
      <c r="AC57" s="302">
        <v>7591</v>
      </c>
      <c r="AD57" s="302">
        <v>6774</v>
      </c>
      <c r="AE57" s="302">
        <v>11600</v>
      </c>
      <c r="AF57" s="328">
        <v>32364</v>
      </c>
      <c r="AG57" s="577"/>
      <c r="AH57" s="577"/>
    </row>
    <row r="58" spans="2:34">
      <c r="B58" s="297" t="str">
        <f>names!$A306</f>
        <v>Zwrot z zaangażowanego kapitału (ROACE) [%] 2)</v>
      </c>
      <c r="C58" s="307">
        <v>12.7</v>
      </c>
      <c r="D58" s="307">
        <v>12.3</v>
      </c>
      <c r="E58" s="307">
        <v>11.2</v>
      </c>
      <c r="F58" s="307">
        <v>11.1</v>
      </c>
      <c r="G58" s="329">
        <v>11.1</v>
      </c>
      <c r="H58" s="307">
        <v>6.3</v>
      </c>
      <c r="I58" s="307">
        <v>10.5</v>
      </c>
      <c r="J58" s="307">
        <v>8.3000000000000007</v>
      </c>
      <c r="K58" s="307">
        <v>9.1</v>
      </c>
      <c r="L58" s="329">
        <v>9.1</v>
      </c>
      <c r="M58" s="307">
        <v>14.2</v>
      </c>
      <c r="N58" s="307">
        <v>11</v>
      </c>
      <c r="O58" s="307">
        <v>14.7</v>
      </c>
      <c r="P58" s="307">
        <v>17.899999999999999</v>
      </c>
      <c r="Q58" s="329">
        <v>17.899999999999999</v>
      </c>
      <c r="R58" s="307">
        <v>18.7</v>
      </c>
      <c r="S58" s="307">
        <v>24.6</v>
      </c>
      <c r="T58" s="307">
        <v>37.5</v>
      </c>
      <c r="U58" s="307">
        <v>50.2</v>
      </c>
      <c r="V58" s="329">
        <v>50.2</v>
      </c>
      <c r="W58" s="685">
        <v>51.2</v>
      </c>
      <c r="X58" s="685">
        <v>44.4</v>
      </c>
      <c r="Y58" s="685">
        <v>32.5</v>
      </c>
      <c r="Z58" s="685">
        <v>24.2</v>
      </c>
      <c r="AA58" s="686">
        <v>24.2</v>
      </c>
      <c r="AB58" s="685">
        <v>18.5</v>
      </c>
      <c r="AC58" s="685">
        <v>15.4</v>
      </c>
      <c r="AD58" s="685">
        <v>14.2</v>
      </c>
      <c r="AE58" s="685">
        <v>10.9</v>
      </c>
      <c r="AF58" s="329">
        <v>10.9</v>
      </c>
      <c r="AG58" s="577"/>
      <c r="AH58" s="577"/>
    </row>
    <row r="59" spans="2:34">
      <c r="B59" s="308" t="str">
        <f>names!$A307</f>
        <v>Zwrot z zaangażowanego kapitału wg LIFO (ROACE LIFO) [%] 3)</v>
      </c>
      <c r="C59" s="309">
        <v>11.6</v>
      </c>
      <c r="D59" s="309">
        <v>12.6</v>
      </c>
      <c r="E59" s="309">
        <v>13.6</v>
      </c>
      <c r="F59" s="309">
        <v>11.3</v>
      </c>
      <c r="G59" s="330">
        <v>11.3</v>
      </c>
      <c r="H59" s="309">
        <v>10.3</v>
      </c>
      <c r="I59" s="309">
        <v>15.6</v>
      </c>
      <c r="J59" s="309">
        <v>11.9</v>
      </c>
      <c r="K59" s="309">
        <v>13.1</v>
      </c>
      <c r="L59" s="330">
        <v>13.1</v>
      </c>
      <c r="M59" s="309">
        <v>12.9</v>
      </c>
      <c r="N59" s="309">
        <v>7.7</v>
      </c>
      <c r="O59" s="309">
        <v>10.6</v>
      </c>
      <c r="P59" s="309">
        <v>12.1</v>
      </c>
      <c r="Q59" s="330">
        <v>12.1</v>
      </c>
      <c r="R59" s="309">
        <v>11.8</v>
      </c>
      <c r="S59" s="309">
        <v>17.5</v>
      </c>
      <c r="T59" s="309">
        <v>32.799999999999997</v>
      </c>
      <c r="U59" s="309">
        <v>49.2</v>
      </c>
      <c r="V59" s="330">
        <v>49.2</v>
      </c>
      <c r="W59" s="687">
        <v>53</v>
      </c>
      <c r="X59" s="687">
        <v>47.1</v>
      </c>
      <c r="Y59" s="687">
        <v>33.700000000000003</v>
      </c>
      <c r="Z59" s="687">
        <v>24.7</v>
      </c>
      <c r="AA59" s="688">
        <v>24.7</v>
      </c>
      <c r="AB59" s="687">
        <v>18.3</v>
      </c>
      <c r="AC59" s="687">
        <v>15</v>
      </c>
      <c r="AD59" s="687">
        <v>14.7</v>
      </c>
      <c r="AE59" s="687">
        <v>11</v>
      </c>
      <c r="AF59" s="330">
        <v>11</v>
      </c>
      <c r="AG59" s="577"/>
      <c r="AH59" s="577"/>
    </row>
    <row r="60" spans="2:34">
      <c r="B60" s="310" t="str">
        <f>names!$A308</f>
        <v>Dźwignia finansowa netto [%] 4)</v>
      </c>
      <c r="C60" s="311">
        <v>13.9</v>
      </c>
      <c r="D60" s="311">
        <v>6.6</v>
      </c>
      <c r="E60" s="311">
        <v>5.2</v>
      </c>
      <c r="F60" s="311">
        <v>6.3</v>
      </c>
      <c r="G60" s="331">
        <v>6.3</v>
      </c>
      <c r="H60" s="311">
        <v>11.5</v>
      </c>
      <c r="I60" s="311">
        <v>25.9</v>
      </c>
      <c r="J60" s="311">
        <v>28.1</v>
      </c>
      <c r="K60" s="311">
        <v>31</v>
      </c>
      <c r="L60" s="331">
        <v>31</v>
      </c>
      <c r="M60" s="311">
        <v>30.3</v>
      </c>
      <c r="N60" s="311">
        <v>25.4</v>
      </c>
      <c r="O60" s="311">
        <v>23.5</v>
      </c>
      <c r="P60" s="311">
        <v>23.3</v>
      </c>
      <c r="Q60" s="331">
        <v>23.3</v>
      </c>
      <c r="R60" s="311">
        <v>28.1</v>
      </c>
      <c r="S60" s="311">
        <v>20</v>
      </c>
      <c r="T60" s="311">
        <v>5.6</v>
      </c>
      <c r="U60" s="311">
        <v>-1.3</v>
      </c>
      <c r="V60" s="331">
        <v>-1.3</v>
      </c>
      <c r="W60" s="689">
        <v>-7.1</v>
      </c>
      <c r="X60" s="689">
        <v>-7.9</v>
      </c>
      <c r="Y60" s="689">
        <v>-0.6</v>
      </c>
      <c r="Z60" s="689">
        <v>1.2</v>
      </c>
      <c r="AA60" s="690">
        <v>1.2</v>
      </c>
      <c r="AB60" s="689">
        <v>0.5</v>
      </c>
      <c r="AC60" s="689">
        <v>1.6</v>
      </c>
      <c r="AD60" s="689">
        <v>0.6</v>
      </c>
      <c r="AE60" s="689">
        <v>4.5999999999999996</v>
      </c>
      <c r="AF60" s="331">
        <v>4.5999999999999996</v>
      </c>
      <c r="AG60" s="577"/>
      <c r="AH60" s="577"/>
    </row>
    <row r="61" spans="2:34" ht="26.25" customHeight="1">
      <c r="B61" s="300" t="str">
        <f>names!$A309</f>
        <v>Dług netto/Wynik z działalności operacyjnej wg LIFO powiększony o amortyzację z ostatnich czterech kwartałów  (EBITDA LIFO) 6)</v>
      </c>
      <c r="C61" s="450" t="s">
        <v>1719</v>
      </c>
      <c r="D61" s="448">
        <v>0.28000000000000003</v>
      </c>
      <c r="E61" s="450" t="s">
        <v>1719</v>
      </c>
      <c r="F61" s="448">
        <v>0.28000000000000003</v>
      </c>
      <c r="G61" s="332">
        <v>0.28000000000000003</v>
      </c>
      <c r="H61" s="450" t="s">
        <v>1719</v>
      </c>
      <c r="I61" s="448">
        <v>0.83</v>
      </c>
      <c r="J61" s="450" t="s">
        <v>1719</v>
      </c>
      <c r="K61" s="448">
        <v>1.02</v>
      </c>
      <c r="L61" s="332">
        <v>1.02</v>
      </c>
      <c r="M61" s="450" t="s">
        <v>1719</v>
      </c>
      <c r="N61" s="448">
        <v>1.07</v>
      </c>
      <c r="O61" s="450" t="s">
        <v>1719</v>
      </c>
      <c r="P61" s="448">
        <v>0.8</v>
      </c>
      <c r="Q61" s="332">
        <v>0.8</v>
      </c>
      <c r="R61" s="450" t="s">
        <v>1719</v>
      </c>
      <c r="S61" s="448">
        <v>0.54</v>
      </c>
      <c r="T61" s="450" t="s">
        <v>1719</v>
      </c>
      <c r="U61" s="448">
        <v>-7.0000000000000007E-2</v>
      </c>
      <c r="V61" s="332">
        <v>-7.0000000000000007E-2</v>
      </c>
      <c r="W61" s="691">
        <v>-0.23</v>
      </c>
      <c r="X61" s="691">
        <v>-0.21</v>
      </c>
      <c r="Y61" s="691">
        <v>-0.08</v>
      </c>
      <c r="Z61" s="691">
        <v>0.02</v>
      </c>
      <c r="AA61" s="692">
        <v>0.02</v>
      </c>
      <c r="AB61" s="691">
        <v>-0.01</v>
      </c>
      <c r="AC61" s="691">
        <v>0.08</v>
      </c>
      <c r="AD61" s="693">
        <v>0.04</v>
      </c>
      <c r="AE61" s="693">
        <v>0.3</v>
      </c>
      <c r="AF61" s="332">
        <v>0.3</v>
      </c>
      <c r="AG61" s="577"/>
      <c r="AH61" s="577"/>
    </row>
    <row r="62" spans="2:34" ht="26.25" customHeight="1">
      <c r="B62" s="308" t="str">
        <f>names!$A310</f>
        <v>Dług netto/Wynik z działalności operacyjnej powiększony o amortyzację z ostatnich czterech kwartałów  (EBITDA) 7)</v>
      </c>
      <c r="C62" s="450" t="s">
        <v>1719</v>
      </c>
      <c r="D62" s="448">
        <v>0.27</v>
      </c>
      <c r="E62" s="450" t="s">
        <v>1719</v>
      </c>
      <c r="F62" s="449">
        <v>0.27</v>
      </c>
      <c r="G62" s="333">
        <v>0.27</v>
      </c>
      <c r="H62" s="450" t="s">
        <v>1719</v>
      </c>
      <c r="I62" s="448">
        <v>1.08</v>
      </c>
      <c r="J62" s="450" t="s">
        <v>1719</v>
      </c>
      <c r="K62" s="449">
        <v>1.27</v>
      </c>
      <c r="L62" s="333">
        <v>1.27</v>
      </c>
      <c r="M62" s="450" t="s">
        <v>1719</v>
      </c>
      <c r="N62" s="448">
        <v>0.87</v>
      </c>
      <c r="O62" s="450" t="s">
        <v>1719</v>
      </c>
      <c r="P62" s="449">
        <v>0.61524032745018231</v>
      </c>
      <c r="Q62" s="333">
        <v>0.61524032745018231</v>
      </c>
      <c r="R62" s="450" t="s">
        <v>1719</v>
      </c>
      <c r="S62" s="448">
        <v>0.42</v>
      </c>
      <c r="T62" s="450" t="s">
        <v>1719</v>
      </c>
      <c r="U62" s="449">
        <v>-7.0000000000000007E-2</v>
      </c>
      <c r="V62" s="333">
        <v>-7.0000000000000007E-2</v>
      </c>
      <c r="W62" s="691">
        <v>-0.24</v>
      </c>
      <c r="X62" s="691">
        <v>-0.22</v>
      </c>
      <c r="Y62" s="691">
        <v>-0.09</v>
      </c>
      <c r="Z62" s="691">
        <v>0.02</v>
      </c>
      <c r="AA62" s="694">
        <v>0.02</v>
      </c>
      <c r="AB62" s="691">
        <v>-0.01</v>
      </c>
      <c r="AC62" s="691">
        <v>7.0000000000000007E-2</v>
      </c>
      <c r="AD62" s="693">
        <v>0.04</v>
      </c>
      <c r="AE62" s="693">
        <v>0.3</v>
      </c>
      <c r="AF62" s="333">
        <v>0.3</v>
      </c>
      <c r="AG62" s="577"/>
      <c r="AH62" s="577"/>
    </row>
    <row r="63" spans="2:34" ht="18.75" customHeight="1" thickBot="1">
      <c r="B63" s="312" t="str">
        <f>names!$A311</f>
        <v>Zysk/(Strata) netto akcjonariuszy Jednostki Dominującej na jedną akcję (EPS) [PLN/akcję]</v>
      </c>
      <c r="C63" s="446">
        <v>1.98</v>
      </c>
      <c r="D63" s="446">
        <v>3.75</v>
      </c>
      <c r="E63" s="446">
        <v>2.96</v>
      </c>
      <c r="F63" s="313">
        <v>1.36</v>
      </c>
      <c r="G63" s="334">
        <v>10.050000000000001</v>
      </c>
      <c r="H63" s="446">
        <v>-5.25</v>
      </c>
      <c r="I63" s="446">
        <v>10.17</v>
      </c>
      <c r="J63" s="446">
        <v>1.52</v>
      </c>
      <c r="K63" s="313">
        <v>0</v>
      </c>
      <c r="L63" s="334">
        <v>6.44</v>
      </c>
      <c r="M63" s="446">
        <v>4.3099999999999996</v>
      </c>
      <c r="N63" s="446">
        <v>5.21</v>
      </c>
      <c r="O63" s="446">
        <v>6.8</v>
      </c>
      <c r="P63" s="313">
        <v>9.68</v>
      </c>
      <c r="Q63" s="334">
        <v>26</v>
      </c>
      <c r="R63" s="446">
        <v>6.48</v>
      </c>
      <c r="S63" s="446">
        <v>8.44</v>
      </c>
      <c r="T63" s="446">
        <v>23.43</v>
      </c>
      <c r="U63" s="313">
        <v>16.04</v>
      </c>
      <c r="V63" s="334">
        <v>34.18</v>
      </c>
      <c r="W63" s="695">
        <v>8.0299999999999994</v>
      </c>
      <c r="X63" s="695">
        <v>5.22</v>
      </c>
      <c r="Y63" s="695">
        <v>3.93</v>
      </c>
      <c r="Z63" s="696">
        <v>0.84</v>
      </c>
      <c r="AA63" s="697">
        <v>18.02</v>
      </c>
      <c r="AB63" s="695">
        <v>2.39</v>
      </c>
      <c r="AC63" s="695">
        <v>0.02</v>
      </c>
      <c r="AD63" s="695">
        <v>0.19</v>
      </c>
      <c r="AE63" s="446">
        <v>4.0199999999999996</v>
      </c>
      <c r="AF63" s="446">
        <v>6.87</v>
      </c>
      <c r="AG63" s="577"/>
      <c r="AH63" s="577"/>
    </row>
    <row r="64" spans="2:34">
      <c r="C64" s="269"/>
      <c r="D64" s="269"/>
      <c r="E64" s="269"/>
      <c r="H64" s="269"/>
      <c r="I64" s="269"/>
      <c r="J64" s="269"/>
      <c r="M64" s="269"/>
      <c r="N64" s="269"/>
      <c r="O64" s="269"/>
      <c r="R64" s="269"/>
      <c r="S64" s="269"/>
      <c r="T64" s="269"/>
      <c r="W64" s="269"/>
      <c r="X64" s="269"/>
      <c r="Y64" s="269"/>
      <c r="AB64" s="269"/>
      <c r="AC64" s="269"/>
      <c r="AD64" s="269"/>
      <c r="AG64" s="577"/>
      <c r="AH64" s="577"/>
    </row>
    <row r="65" spans="2:34" ht="34.5" customHeight="1">
      <c r="B65" s="270" t="str">
        <f>names!$A313</f>
        <v>Wpływ wyceny zapasów wg LIFO
 [mln PLN]</v>
      </c>
      <c r="C65" s="271" t="str">
        <f>C4</f>
        <v>I kw.
2019*</v>
      </c>
      <c r="D65" s="271" t="str">
        <f t="shared" ref="D65:AF65" si="0">D4</f>
        <v>II kw.
2019*</v>
      </c>
      <c r="E65" s="271" t="str">
        <f t="shared" si="0"/>
        <v>III kw.
2019*</v>
      </c>
      <c r="F65" s="271" t="str">
        <f t="shared" si="0"/>
        <v>IV kw.
2019*</v>
      </c>
      <c r="G65" s="271" t="str">
        <f t="shared" si="0"/>
        <v>12 m-cy
2019*</v>
      </c>
      <c r="H65" s="271" t="str">
        <f t="shared" si="0"/>
        <v>I kw.
2020*</v>
      </c>
      <c r="I65" s="271" t="str">
        <f t="shared" si="0"/>
        <v>II kw.
2020</v>
      </c>
      <c r="J65" s="271" t="str">
        <f t="shared" si="0"/>
        <v>III kw.
2020</v>
      </c>
      <c r="K65" s="271" t="str">
        <f t="shared" si="0"/>
        <v>IV kw.
2020</v>
      </c>
      <c r="L65" s="271" t="str">
        <f t="shared" si="0"/>
        <v>12 m-cy 2020</v>
      </c>
      <c r="M65" s="271" t="str">
        <f t="shared" si="0"/>
        <v>I kw. 
2021</v>
      </c>
      <c r="N65" s="271" t="str">
        <f t="shared" si="0"/>
        <v>II kw. 
2021</v>
      </c>
      <c r="O65" s="271" t="str">
        <f t="shared" si="0"/>
        <v>III kw. 
2021</v>
      </c>
      <c r="P65" s="271" t="str">
        <f t="shared" si="0"/>
        <v>IV kw. 
2021</v>
      </c>
      <c r="Q65" s="271" t="str">
        <f t="shared" si="0"/>
        <v>12 m-cy 2021</v>
      </c>
      <c r="R65" s="271" t="str">
        <f t="shared" si="0"/>
        <v>I kw. 
2022</v>
      </c>
      <c r="S65" s="271" t="str">
        <f t="shared" si="0"/>
        <v>II kw. 
2022</v>
      </c>
      <c r="T65" s="271" t="str">
        <f t="shared" si="0"/>
        <v>III kw. 
2022</v>
      </c>
      <c r="U65" s="271" t="str">
        <f t="shared" si="0"/>
        <v>IV kw. 
2022</v>
      </c>
      <c r="V65" s="271" t="str">
        <f t="shared" si="0"/>
        <v>12 m-cy 2022</v>
      </c>
      <c r="W65" s="271" t="str">
        <f t="shared" si="0"/>
        <v>I kw. 
2023</v>
      </c>
      <c r="X65" s="271" t="str">
        <f t="shared" si="0"/>
        <v>II kw. 
2023</v>
      </c>
      <c r="Y65" s="271" t="str">
        <f t="shared" si="0"/>
        <v>III kw. 
2023</v>
      </c>
      <c r="Z65" s="271" t="str">
        <f t="shared" si="0"/>
        <v>IV kw. 
2023</v>
      </c>
      <c r="AA65" s="271" t="str">
        <f t="shared" si="0"/>
        <v>12 m-cy 2023</v>
      </c>
      <c r="AB65" s="271" t="str">
        <f t="shared" si="0"/>
        <v>I kw. 
2024</v>
      </c>
      <c r="AC65" s="271" t="str">
        <f t="shared" si="0"/>
        <v>II kw. 
2024</v>
      </c>
      <c r="AD65" s="271" t="str">
        <f t="shared" si="0"/>
        <v>III kw. 
2024</v>
      </c>
      <c r="AE65" s="271" t="str">
        <f t="shared" si="0"/>
        <v>IV kw. 
2024</v>
      </c>
      <c r="AF65" s="271" t="str">
        <f t="shared" si="0"/>
        <v>12 m-cy 2024</v>
      </c>
      <c r="AG65" s="577"/>
      <c r="AH65" s="577"/>
    </row>
    <row r="66" spans="2:34">
      <c r="B66" s="308" t="str">
        <f>names!$A314</f>
        <v>Wpływ wyceny zapasów wg LIFO na poziom EBITDA, w tym:</v>
      </c>
      <c r="C66" s="438">
        <v>-175</v>
      </c>
      <c r="D66" s="438">
        <v>217</v>
      </c>
      <c r="E66" s="438">
        <v>-394</v>
      </c>
      <c r="F66" s="316">
        <v>221</v>
      </c>
      <c r="G66" s="335">
        <v>-131</v>
      </c>
      <c r="H66" s="438">
        <v>-2072</v>
      </c>
      <c r="I66" s="438">
        <v>-466</v>
      </c>
      <c r="J66" s="438">
        <v>267</v>
      </c>
      <c r="K66" s="316">
        <v>-103</v>
      </c>
      <c r="L66" s="335">
        <v>-2374</v>
      </c>
      <c r="M66" s="438">
        <v>1142</v>
      </c>
      <c r="N66" s="438">
        <v>963</v>
      </c>
      <c r="O66" s="438">
        <v>890</v>
      </c>
      <c r="P66" s="316">
        <v>1251</v>
      </c>
      <c r="Q66" s="335">
        <v>4246</v>
      </c>
      <c r="R66" s="438">
        <v>2174</v>
      </c>
      <c r="S66" s="438">
        <v>1321</v>
      </c>
      <c r="T66" s="438">
        <v>-553</v>
      </c>
      <c r="U66" s="316">
        <v>-1845</v>
      </c>
      <c r="V66" s="335">
        <v>1097</v>
      </c>
      <c r="W66" s="438">
        <v>-1171</v>
      </c>
      <c r="X66" s="438">
        <v>-384</v>
      </c>
      <c r="Y66" s="438">
        <v>1283</v>
      </c>
      <c r="Z66" s="316">
        <v>-627</v>
      </c>
      <c r="AA66" s="335">
        <v>-899</v>
      </c>
      <c r="AB66" s="438">
        <v>64</v>
      </c>
      <c r="AC66" s="438">
        <v>33</v>
      </c>
      <c r="AD66" s="438">
        <v>-324</v>
      </c>
      <c r="AE66" s="438">
        <v>-44</v>
      </c>
      <c r="AF66" s="335">
        <v>-271</v>
      </c>
      <c r="AG66" s="577"/>
      <c r="AH66" s="577"/>
    </row>
    <row r="67" spans="2:34" ht="14.25" customHeight="1">
      <c r="B67" s="285" t="str">
        <f>names!$A315</f>
        <v>ORLEN S.A.</v>
      </c>
      <c r="C67" s="286">
        <v>-134</v>
      </c>
      <c r="D67" s="286">
        <v>165</v>
      </c>
      <c r="E67" s="286">
        <v>-331</v>
      </c>
      <c r="F67" s="317">
        <v>154</v>
      </c>
      <c r="G67" s="336">
        <v>-146</v>
      </c>
      <c r="H67" s="286">
        <v>-1937</v>
      </c>
      <c r="I67" s="286">
        <v>-161</v>
      </c>
      <c r="J67" s="286">
        <v>19</v>
      </c>
      <c r="K67" s="317">
        <v>26</v>
      </c>
      <c r="L67" s="336">
        <v>-2053</v>
      </c>
      <c r="M67" s="286">
        <v>820</v>
      </c>
      <c r="N67" s="286">
        <v>734</v>
      </c>
      <c r="O67" s="286">
        <v>771</v>
      </c>
      <c r="P67" s="317">
        <v>998</v>
      </c>
      <c r="Q67" s="336">
        <v>3323</v>
      </c>
      <c r="R67" s="286">
        <v>1647</v>
      </c>
      <c r="S67" s="286">
        <v>953</v>
      </c>
      <c r="T67" s="286">
        <v>232</v>
      </c>
      <c r="U67" s="317">
        <v>-1146</v>
      </c>
      <c r="V67" s="336">
        <v>1686</v>
      </c>
      <c r="W67" s="286">
        <v>-816</v>
      </c>
      <c r="X67" s="286">
        <v>-408</v>
      </c>
      <c r="Y67" s="286">
        <v>587</v>
      </c>
      <c r="Z67" s="317">
        <v>-259</v>
      </c>
      <c r="AA67" s="336">
        <v>-896</v>
      </c>
      <c r="AB67" s="286">
        <v>-155</v>
      </c>
      <c r="AC67" s="286">
        <v>126</v>
      </c>
      <c r="AD67" s="679">
        <v>-280</v>
      </c>
      <c r="AE67" s="679">
        <v>154</v>
      </c>
      <c r="AF67" s="336">
        <v>-155</v>
      </c>
      <c r="AG67" s="577"/>
      <c r="AH67" s="577"/>
    </row>
    <row r="68" spans="2:34" ht="14.25" customHeight="1">
      <c r="B68" s="285" t="str">
        <f>names!$A316</f>
        <v>Grupa Unipetrol</v>
      </c>
      <c r="C68" s="287">
        <v>15</v>
      </c>
      <c r="D68" s="287">
        <v>-21</v>
      </c>
      <c r="E68" s="287">
        <v>-44</v>
      </c>
      <c r="F68" s="318">
        <v>52</v>
      </c>
      <c r="G68" s="336">
        <v>2</v>
      </c>
      <c r="H68" s="287">
        <v>-158</v>
      </c>
      <c r="I68" s="287">
        <v>-119</v>
      </c>
      <c r="J68" s="287">
        <v>124</v>
      </c>
      <c r="K68" s="318">
        <v>-54</v>
      </c>
      <c r="L68" s="336">
        <v>-207</v>
      </c>
      <c r="M68" s="287">
        <v>235</v>
      </c>
      <c r="N68" s="287">
        <v>144</v>
      </c>
      <c r="O68" s="287">
        <v>75</v>
      </c>
      <c r="P68" s="318">
        <v>184</v>
      </c>
      <c r="Q68" s="336">
        <v>638</v>
      </c>
      <c r="R68" s="287">
        <v>445</v>
      </c>
      <c r="S68" s="287">
        <v>66</v>
      </c>
      <c r="T68" s="287">
        <v>-428</v>
      </c>
      <c r="U68" s="318">
        <v>-354</v>
      </c>
      <c r="V68" s="336">
        <v>-271</v>
      </c>
      <c r="W68" s="287">
        <v>-276</v>
      </c>
      <c r="X68" s="287">
        <v>0</v>
      </c>
      <c r="Y68" s="287">
        <v>528</v>
      </c>
      <c r="Z68" s="318">
        <v>-306</v>
      </c>
      <c r="AA68" s="336">
        <v>-54</v>
      </c>
      <c r="AB68" s="287">
        <v>307</v>
      </c>
      <c r="AC68" s="287">
        <v>-120</v>
      </c>
      <c r="AD68" s="680">
        <v>-103</v>
      </c>
      <c r="AE68" s="680">
        <v>-65</v>
      </c>
      <c r="AF68" s="336">
        <v>19</v>
      </c>
      <c r="AG68" s="577"/>
      <c r="AH68" s="577"/>
    </row>
    <row r="69" spans="2:34" ht="14.25" customHeight="1">
      <c r="B69" s="285" t="str">
        <f>names!$A317</f>
        <v>Grupa ORLEN Lietuva</v>
      </c>
      <c r="C69" s="287">
        <v>-59</v>
      </c>
      <c r="D69" s="287">
        <v>68</v>
      </c>
      <c r="E69" s="287">
        <v>-12</v>
      </c>
      <c r="F69" s="318">
        <v>10</v>
      </c>
      <c r="G69" s="336">
        <v>7</v>
      </c>
      <c r="H69" s="287">
        <v>57</v>
      </c>
      <c r="I69" s="287">
        <v>-187</v>
      </c>
      <c r="J69" s="287">
        <v>117</v>
      </c>
      <c r="K69" s="318">
        <v>-86</v>
      </c>
      <c r="L69" s="336">
        <v>-99</v>
      </c>
      <c r="M69" s="287">
        <v>64</v>
      </c>
      <c r="N69" s="287">
        <v>59</v>
      </c>
      <c r="O69" s="287">
        <v>47</v>
      </c>
      <c r="P69" s="318">
        <v>67</v>
      </c>
      <c r="Q69" s="336">
        <v>237</v>
      </c>
      <c r="R69" s="287">
        <v>46</v>
      </c>
      <c r="S69" s="287">
        <v>261</v>
      </c>
      <c r="T69" s="287">
        <v>-335</v>
      </c>
      <c r="U69" s="318">
        <v>-303</v>
      </c>
      <c r="V69" s="336">
        <v>-331</v>
      </c>
      <c r="W69" s="287">
        <v>-49</v>
      </c>
      <c r="X69" s="287">
        <v>41</v>
      </c>
      <c r="Y69" s="287">
        <v>167</v>
      </c>
      <c r="Z69" s="318">
        <v>-61</v>
      </c>
      <c r="AA69" s="336">
        <v>98</v>
      </c>
      <c r="AB69" s="287">
        <v>-88</v>
      </c>
      <c r="AC69" s="287">
        <v>34</v>
      </c>
      <c r="AD69" s="680">
        <v>62</v>
      </c>
      <c r="AE69" s="680">
        <v>-142</v>
      </c>
      <c r="AF69" s="336">
        <v>-134</v>
      </c>
      <c r="AG69" s="577"/>
      <c r="AH69" s="577"/>
    </row>
    <row r="70" spans="2:34" ht="14.25" customHeight="1" thickBot="1">
      <c r="B70" s="319" t="str">
        <f>names!$A318</f>
        <v>Pozostałe</v>
      </c>
      <c r="C70" s="299">
        <v>3</v>
      </c>
      <c r="D70" s="299">
        <v>5</v>
      </c>
      <c r="E70" s="299">
        <v>-7</v>
      </c>
      <c r="F70" s="320">
        <v>5</v>
      </c>
      <c r="G70" s="337">
        <v>6</v>
      </c>
      <c r="H70" s="299">
        <v>-34</v>
      </c>
      <c r="I70" s="299">
        <v>1</v>
      </c>
      <c r="J70" s="299">
        <v>7</v>
      </c>
      <c r="K70" s="320">
        <v>11</v>
      </c>
      <c r="L70" s="337">
        <v>-15</v>
      </c>
      <c r="M70" s="299">
        <v>23</v>
      </c>
      <c r="N70" s="299">
        <v>26</v>
      </c>
      <c r="O70" s="299">
        <v>-3</v>
      </c>
      <c r="P70" s="320">
        <v>2</v>
      </c>
      <c r="Q70" s="337">
        <v>48</v>
      </c>
      <c r="R70" s="299">
        <v>36</v>
      </c>
      <c r="S70" s="299">
        <v>41</v>
      </c>
      <c r="T70" s="299">
        <v>-22</v>
      </c>
      <c r="U70" s="320">
        <v>-42</v>
      </c>
      <c r="V70" s="337">
        <v>13</v>
      </c>
      <c r="W70" s="299">
        <v>-30</v>
      </c>
      <c r="X70" s="299">
        <v>-17</v>
      </c>
      <c r="Y70" s="299">
        <v>1</v>
      </c>
      <c r="Z70" s="320">
        <v>-1</v>
      </c>
      <c r="AA70" s="337">
        <v>-47</v>
      </c>
      <c r="AB70" s="299">
        <v>0</v>
      </c>
      <c r="AC70" s="299">
        <v>-7</v>
      </c>
      <c r="AD70" s="681">
        <v>-3</v>
      </c>
      <c r="AE70" s="681">
        <v>9</v>
      </c>
      <c r="AF70" s="337">
        <v>-1</v>
      </c>
      <c r="AG70" s="577"/>
      <c r="AH70" s="577"/>
    </row>
    <row r="71" spans="2:34">
      <c r="AE71" s="772"/>
      <c r="AF71" s="772"/>
      <c r="AG71" s="577"/>
    </row>
    <row r="72" spans="2:34">
      <c r="B72" s="268" t="str">
        <f>names!A319</f>
        <v>*) Segment rafineria, petrochemia i energetyka: dane przekształcone.</v>
      </c>
      <c r="AG72" s="577"/>
    </row>
    <row r="73" spans="2:34" ht="202.5" customHeight="1">
      <c r="B73" s="999" t="str">
        <f>names!A320</f>
        <v>**) Odpisy aktualizujące wartość aktywów trwałych ujęte w:
- III kwartale 2019 roku w wysokości (0,1) mld PLN dotyczące głównie działalności poszukiwawczej Grupy ORLEN Upstream w Polsce.
- IV kwartale 2019 roku w wysokości (0,1) mld PLN dotyczące głównie działalności poszukiwawczej Grupy ORLEN Upstream w Polsce.
- I kwartale 2020 roku w wysokości (0,5) mld PLN dotyczące głównie aktywów Grupy ORLEN Upstream.
- II kwartale 2020 roku w wysokości (0,2) mld PLN dotyczące głównie aktywów Grupy ORLEN Upstream.
- IV kwartale 2020 roku w wysokości (0,9) mld PLN dotyczące głównie aktywów Grupy ORLEN Upstream.
- IV kwartale 2021 roku w wysokości 0,9 mld PLN dotyczące głównie aktywów Grupy ORLEN Upstream.
- II kwartale 2022 roku w wysokości (2,9) mld PLN dotyczące głównie aktywów ORLEN S.A. oraz Grupy ORLEN Lietuva.
- IV kwartale 2022 roku w wysokości (3,1) mld PLN dotyczące głównie aktywów ORLEN S.A. oraz spółek dawnej Grupy LOTOS.
- I kwartale 2023 roku w wysokości (2,2) mld PLN dotyczące głównie aktywów wydobywczych ORLEN S.A. w Polsce i Pakistanie.
- III kwartale 2023 roku w wysokości (1,1) mld PLN dotyczące głównie odpisu aktualizującego wartość inwestycji w EuRoPol Gaz.
- IV kwartale 2023 roku w wysokości (13,9) mld PLN dotyczące głównie aktywów petrochemicznych ORLEN S.A.
- I kwartale 2024 roku w wysokości (0,7) mld PLN dotyczące głównie aktywów petrochemicznych ORLEN S.A.
- II kwartale 2024 roku w wysokości (0,5) mld PLN dotyczące głównie aktywów petrochemicznych ORLEN S.A.
- III kwartale 2024 roku w wysokości (3,5) mld PLN dotyczące głównie aktywów ORLEN S.A. oraz Grupy ORLEN Lietuva.
- IV kwartale 2024 roku w wysokości (1,1) mld PLN dotyczące głównie aktywów wydobywczych Grupy ORLEN Upstream oraz ORLEN S.A.</v>
      </c>
      <c r="C73" s="999" t="str">
        <f>names!B320</f>
        <v>**) Odpisy aktualizujące wartość aktywów trwałych ujęte w:
- III kwartale 2019 roku w wysokości (0,1) mld PLN dotyczące głównie działalności poszukiwawczej Grupy ORLEN Upstream w Polsce.
- IV kwartale 2019 roku w wysokości (0,1) mld PLN dotyczące głównie działalności poszukiwawczej Grupy ORLEN Upstream w Polsce.
- I kwartale 2020 roku w wysokości (0,5) mld PLN dotyczące głównie aktywów Grupy ORLEN Upstream.
- II kwartale 2020 roku w wysokości (0,2) mld PLN dotyczące głównie aktywów Grupy ORLEN Upstream.
- IV kwartale 2020 roku w wysokości (0,9) mld PLN dotyczące głównie aktywów Grupy ORLEN Upstream.
- IV kwartale 2021 roku w wysokości 0,9 mld PLN dotyczące głównie aktywów Grupy ORLEN Upstream.
- II kwartale 2022 roku w wysokości (2,9) mld PLN dotyczące głównie aktywów ORLEN S.A. oraz Grupy ORLEN Lietuva.
- IV kwartale 2022 roku w wysokości (3,1) mld PLN dotyczące głównie aktywów ORLEN S.A. oraz spółek dawnej Grupy LOTOS.
- I kwartale 2023 roku w wysokości (2,2) mld PLN dotyczące głównie aktywów wydobywczych ORLEN S.A. w Polsce i Pakistanie.
- III kwartale 2023 roku w wysokości (1,1) mld PLN dotyczące głównie odpisu aktualizującego wartość inwestycji w EuRoPol Gaz.
- IV kwartale 2023 roku w wysokości (13,9) mld PLN dotyczące głównie aktywów petrochemicznych ORLEN S.A.
- I kwartale 2024 roku w wysokości (0,7) mld PLN dotyczące głównie aktywów petrochemicznych ORLEN S.A.
- II kwartale 2024 roku w wysokości (0,5) mld PLN dotyczące głównie aktywów petrochemicznych ORLEN S.A.
- III kwartale 2024 roku w wysokości (3,5) mld PLN dotyczące głównie aktywów ORLEN S.A. oraz Grupy ORLEN Lietuva.
- IV kwartale 2024 roku w wysokości (1,1) mld PLN dotyczące głównie aktywów wydobywczych Grupy ORLEN Upstream oraz ORLEN S.A.</v>
      </c>
      <c r="D73" s="999" t="str">
        <f>names!C320</f>
        <v>**) Impairment allowances of non-current assets included in: 
- III quarter of 2019 of PLN in the amount of PLN (0.1) billion regarding ORLEN Upstream Group activities in Poland.
- IV quarter of 2019 of PLN in the amount of PLN (0.1) billion regarding ORLEN Upstream Group activities in Poland.
- I quarter of 2020 in the amount of PLN (0.5) billion mainly regarding assets of ORLEN Upstream Group.
- II quarter of 2020 in the amount of PLN (0,2) billion mainly regarding assets of ORLEN Upstream Group.
- IV quarter of 2020 in the amount of PLN (0,9) billion mainly regarding assets of ORLEN Upstream Group.
- IV quarter of 2021 in the amount of PLN 0,9 billion mainly regarding assets of ORLEN Upstream Group.
- II quarter of 2022 in the amount of PLN (2,9) billion mainly regarding assets of ORLEN and ORLEN Lietuva Group.
- IV quarter of 2022 in the amount of PLN (3,1) billion mainly regarding assets of ORLEN and companies of the former LOTOS Group.
- I quarter of 2023 in the amount of PLN (2,2) billion mainly regarding assets of ORLEN in Poland and Pakistan.
- III quarter of 2023 in the amount of PLN (1,0) billion mainly regarding the Group made an impairment loss on the investment in EuRoPol Gaz.
- IV quarter of 2023 in the amount of PLN (13,9) billion mainly regarding assets of ORLEN.
- I quarter of 2024 in the amount of PLN (0,7) billion mainly regarding assets of ORLEN.
- II quarter of 2024 in the amount of PLN (0,5) billion mainly regarding assets of ORLEN.
- III quarter of 2024 in the amount of PLN (3,5) billion mainly regarding assets of ORLEN and ORLEN Lietuva Group.
- IV quarter of 2024 in the amount of PLN (1,1) billion mainly regarding assets of ORLEN Upstream Group and ORLEN.</v>
      </c>
      <c r="E73" s="999">
        <f>names!D320</f>
        <v>0</v>
      </c>
      <c r="F73" s="999">
        <f>names!E320</f>
        <v>0</v>
      </c>
      <c r="G73" s="999">
        <f>names!F320</f>
        <v>0</v>
      </c>
      <c r="H73" s="999">
        <f>names!G320</f>
        <v>0</v>
      </c>
      <c r="I73" s="999">
        <f>names!H320</f>
        <v>0</v>
      </c>
      <c r="J73" s="999">
        <f>names!I320</f>
        <v>0</v>
      </c>
      <c r="K73" s="999">
        <f>names!J320</f>
        <v>0</v>
      </c>
      <c r="L73" s="999">
        <f>names!K320</f>
        <v>0</v>
      </c>
      <c r="M73" s="999">
        <f>names!L320</f>
        <v>0</v>
      </c>
      <c r="N73" s="999">
        <f>names!M320</f>
        <v>0</v>
      </c>
      <c r="O73" s="999">
        <f>names!N320</f>
        <v>0</v>
      </c>
      <c r="P73" s="999">
        <f>names!O320</f>
        <v>0</v>
      </c>
      <c r="Q73" s="999">
        <f>names!P320</f>
        <v>0</v>
      </c>
      <c r="AG73" s="577"/>
    </row>
    <row r="74" spans="2:34">
      <c r="B74" s="1000" t="str">
        <f>names!A321</f>
        <v>***) W okresie 3 miesięcy zakończonym 30 czerwca 2020 roku oraz w okresie 12 miesięcy zakończonym 31 grudnia 2020 roku z uwzględnieniem rozpoznania zysku z tytułu okazyjnego nabycia 80% akcji Grupy ENERGA w wysokości 4 062 mln PLN. W okresie 3 miesięcy zakończonym 30 września 2022 roku z uwzględnieniem rozpoznania zysku z tytułu okazyjnego nabycia Grupy LOTOS w wysokości 5 923 mln PLN.</v>
      </c>
      <c r="C74" s="1000" t="str">
        <f>names!B321</f>
        <v>***) W okresie 3 miesięcy zakończonym 30 czerwca 2020 roku oraz w okresie 12 miesięcy zakończonym 31 grudnia 2020 roku z uwzględnieniem rozpoznania zysku z tytułu okazyjnego nabycia 80% akcji Grupy ENERGA w wysokości 4 062 mln PLN. W okresie 3 miesięcy zakończonym 30 września 2022 roku z uwzględnieniem rozpoznania zysku z tytułu okazyjnego nabycia Grupy LOTOS w wysokości 5 923 mln PLN.</v>
      </c>
      <c r="D74" s="1000" t="str">
        <f>names!C321</f>
        <v>***) In the 3 month period ended June 30, 2020 and in the 12 month period ended December 31, 2020 including provisional recognition of gain on bargain purchase of 80% shares of ENERGA in the amount of PLN 4 062 million. In the 3 month period ended September 30, 2022 including provisional recognition of gain on bargain purchase LOTOS in the amount of PLN 5 923 million.</v>
      </c>
      <c r="E74" s="1000">
        <f>names!D321</f>
        <v>0</v>
      </c>
      <c r="F74" s="1000">
        <f>names!E321</f>
        <v>0</v>
      </c>
      <c r="G74" s="1000">
        <f>names!F321</f>
        <v>0</v>
      </c>
      <c r="H74" s="1000">
        <f>names!G321</f>
        <v>0</v>
      </c>
      <c r="I74" s="1000">
        <f>names!H321</f>
        <v>0</v>
      </c>
      <c r="J74" s="1000">
        <f>names!I321</f>
        <v>0</v>
      </c>
      <c r="K74" s="1000">
        <f>names!J321</f>
        <v>0</v>
      </c>
      <c r="L74" s="1000">
        <f>names!K321</f>
        <v>0</v>
      </c>
      <c r="M74" s="1000">
        <f>names!L321</f>
        <v>0</v>
      </c>
      <c r="N74" s="1000">
        <f>names!M321</f>
        <v>0</v>
      </c>
      <c r="O74" s="1000">
        <f>names!N321</f>
        <v>0</v>
      </c>
      <c r="P74" s="1000">
        <f>names!O321</f>
        <v>0</v>
      </c>
      <c r="Q74" s="1000">
        <f>names!P321</f>
        <v>0</v>
      </c>
      <c r="R74" s="1000">
        <f>names!Q321</f>
        <v>0</v>
      </c>
      <c r="S74" s="1000">
        <f>names!R321</f>
        <v>0</v>
      </c>
      <c r="T74" s="1000">
        <f>names!S321</f>
        <v>0</v>
      </c>
      <c r="U74" s="1000">
        <f>names!T321</f>
        <v>0</v>
      </c>
      <c r="V74" s="1000">
        <f>names!U321</f>
        <v>0</v>
      </c>
      <c r="W74" s="1000">
        <f>names!V321</f>
        <v>0</v>
      </c>
      <c r="X74" s="1000">
        <f>names!W321</f>
        <v>0</v>
      </c>
      <c r="Y74" s="1000">
        <f>names!X321</f>
        <v>0</v>
      </c>
      <c r="Z74" s="1000">
        <f>names!Y321</f>
        <v>0</v>
      </c>
      <c r="AA74" s="1000">
        <f>names!Z321</f>
        <v>0</v>
      </c>
      <c r="AB74" s="1001">
        <f>names!AA321</f>
        <v>0</v>
      </c>
      <c r="AC74" s="1001">
        <f>names!AB321</f>
        <v>0</v>
      </c>
      <c r="AD74" s="498"/>
      <c r="AE74" s="498"/>
      <c r="AF74" s="498"/>
      <c r="AG74" s="577"/>
    </row>
    <row r="75" spans="2:34" ht="12.6" customHeight="1">
      <c r="B75" s="1000" t="str">
        <f>names!$A322</f>
        <v>****) Zgodnie z MSSF 16 Leasing w pozycji zwiększenie aktywów trwałych ujęto wartość praw do użytkowania - w celu zachowania spójności zaktualizowano również dane za I kwartał 2019.</v>
      </c>
      <c r="C75" s="1000" t="str">
        <f>names!B322</f>
        <v>****) Zgodnie z MSSF 16 Leasing w pozycji zwiększenie aktywów trwałych ujęto wartość praw do użytkowania - w celu zachowania spójności zaktualizowano również dane za I kwartał 2019.</v>
      </c>
      <c r="D75" s="1000" t="str">
        <f>names!C322</f>
        <v>****) In accordance with IFRS 16 Leases, the "increase in non-current assets" item includes rights-of-use - in the interests of consistency, the data for the I quarter of 2019 were also updated.</v>
      </c>
      <c r="E75" s="1000">
        <f>names!D322</f>
        <v>0</v>
      </c>
      <c r="F75" s="1000">
        <f>names!E322</f>
        <v>0</v>
      </c>
      <c r="G75" s="1000">
        <f>names!F322</f>
        <v>0</v>
      </c>
      <c r="H75" s="1000">
        <f>names!G322</f>
        <v>0</v>
      </c>
      <c r="I75" s="1000">
        <f>names!H322</f>
        <v>0</v>
      </c>
      <c r="J75" s="1000">
        <f>names!I322</f>
        <v>0</v>
      </c>
      <c r="K75" s="1000">
        <f>names!J322</f>
        <v>0</v>
      </c>
      <c r="L75" s="1000">
        <f>names!K322</f>
        <v>0</v>
      </c>
      <c r="M75" s="1000">
        <f>names!L322</f>
        <v>0</v>
      </c>
      <c r="N75" s="1000">
        <f>names!M322</f>
        <v>0</v>
      </c>
      <c r="O75" s="1000">
        <f>names!N322</f>
        <v>0</v>
      </c>
      <c r="P75" s="1000">
        <f>names!O322</f>
        <v>0</v>
      </c>
      <c r="Q75" s="1000">
        <f>names!P322</f>
        <v>0</v>
      </c>
      <c r="R75" s="1000">
        <f>names!Q322</f>
        <v>0</v>
      </c>
      <c r="S75" s="1000">
        <f>names!R322</f>
        <v>0</v>
      </c>
      <c r="T75" s="1000">
        <f>names!S322</f>
        <v>0</v>
      </c>
      <c r="U75" s="1000">
        <f>names!T322</f>
        <v>0</v>
      </c>
      <c r="V75" s="1000">
        <f>names!U322</f>
        <v>0</v>
      </c>
      <c r="W75" s="1000">
        <f>names!V322</f>
        <v>0</v>
      </c>
      <c r="X75" s="1000">
        <f>names!W322</f>
        <v>0</v>
      </c>
      <c r="Y75" s="1000">
        <f>names!X322</f>
        <v>0</v>
      </c>
      <c r="Z75" s="1000">
        <f>names!Y322</f>
        <v>0</v>
      </c>
      <c r="AA75" s="1000">
        <f>names!Z322</f>
        <v>0</v>
      </c>
      <c r="AC75" s="269"/>
      <c r="AG75" s="577"/>
    </row>
    <row r="76" spans="2:34">
      <c r="B76" s="1000" t="str">
        <f>names!$A323</f>
        <v>1) Zawiera Funkcje Korporacyjne spółek Grupy ORLEN oraz spółki nieujęte w powyższych segmentach.</v>
      </c>
      <c r="C76" s="1000" t="str">
        <f>names!B323</f>
        <v>1) Zawiera Funkcje Korporacyjne spółek Grupy ORLEN oraz spółki nieujęte w powyższych segmentach.</v>
      </c>
      <c r="D76" s="1000" t="str">
        <f>names!C323</f>
        <v>1) Includes Corporate Functions of the ORLEN Group companies as well as companies not included in any of the above segments.</v>
      </c>
      <c r="E76" s="1000"/>
      <c r="F76" s="1000"/>
      <c r="G76" s="1000"/>
      <c r="H76" s="1000"/>
      <c r="I76" s="1000"/>
      <c r="J76" s="1000"/>
      <c r="K76" s="1000"/>
      <c r="L76" s="1000"/>
      <c r="M76" s="1000"/>
      <c r="N76" s="1000"/>
      <c r="O76" s="1000"/>
      <c r="P76" s="1000"/>
      <c r="Q76" s="1000"/>
      <c r="R76" s="1000"/>
      <c r="S76" s="1000"/>
      <c r="T76" s="1000"/>
      <c r="U76" s="1000"/>
      <c r="V76" s="1000"/>
      <c r="W76" s="1000">
        <f>names!V323</f>
        <v>0</v>
      </c>
      <c r="X76" s="1000">
        <f>names!W323</f>
        <v>0</v>
      </c>
      <c r="Y76" s="1000">
        <f>names!X323</f>
        <v>0</v>
      </c>
      <c r="Z76" s="1000">
        <f>names!Y323</f>
        <v>0</v>
      </c>
      <c r="AA76" s="1000">
        <f>names!Z323</f>
        <v>0</v>
      </c>
      <c r="AG76" s="577"/>
    </row>
    <row r="77" spans="2:34" ht="12.75" customHeight="1">
      <c r="B77" s="1000" t="str">
        <f>names!$A324</f>
        <v>2) ROACE = zysk operacyjny z ostatnich czterech kwartałów po opodatkowaniu przed odpisem aktualizującym wartość aktywów trwałych / średni kapitał zaangażowany (kapitał własny + dług netto) z ostatnich czterech kwartałów.</v>
      </c>
      <c r="C77" s="1000" t="str">
        <f>names!B324</f>
        <v>2) ROACE = zysk operacyjny z ostatnich czterech kwartałów po opodatkowaniu przed odpisem aktualizującym wartość aktywów trwałych / średni kapitał zaangażowany (kapitał własny + dług netto) z ostatnich czterech kwartałów.</v>
      </c>
      <c r="D77" s="1000" t="str">
        <f>names!C324</f>
        <v>2) ROACE = profit from operations for the last four quarters after tax before impairment allowances of non-current assets / average capital employed (equity + net debt) for the last four quarters.</v>
      </c>
      <c r="E77" s="1000"/>
      <c r="F77" s="1000"/>
      <c r="G77" s="1000"/>
      <c r="H77" s="1000"/>
      <c r="I77" s="1000"/>
      <c r="J77" s="1000"/>
      <c r="K77" s="1000"/>
      <c r="L77" s="1000"/>
      <c r="M77" s="1000"/>
      <c r="N77" s="1000"/>
      <c r="O77" s="1000"/>
      <c r="P77" s="1000"/>
      <c r="Q77" s="1000"/>
      <c r="R77" s="1000"/>
      <c r="S77" s="1000"/>
      <c r="T77" s="1000"/>
      <c r="U77" s="1000"/>
      <c r="V77" s="1000"/>
      <c r="W77" s="1000">
        <f>names!V324</f>
        <v>0</v>
      </c>
      <c r="X77" s="1000">
        <f>names!W324</f>
        <v>0</v>
      </c>
      <c r="Y77" s="1000">
        <f>names!X324</f>
        <v>0</v>
      </c>
      <c r="Z77" s="1000">
        <f>names!Y324</f>
        <v>0</v>
      </c>
      <c r="AA77" s="1000">
        <f>names!Z324</f>
        <v>0</v>
      </c>
      <c r="AC77" s="269"/>
      <c r="AG77" s="577"/>
    </row>
    <row r="78" spans="2:34" ht="12.75" customHeight="1">
      <c r="B78" s="1000" t="str">
        <f>names!$A325</f>
        <v>3) ROACE LIFO = zysk operacyjny z ostatnich czterech kwartałów wg LIFO po opodatkowaniu przed odpisem aktualizującym wartość aktywów trwałych / średni kapitał zaangażowany (kapitał własny + dług netto) z ostatnich czterech kwartałów.</v>
      </c>
      <c r="C78" s="1000" t="str">
        <f>names!B325</f>
        <v>3) ROACE LIFO = zysk operacyjny z ostatnich czterech kwartałów wg LIFO po opodatkowaniu przed odpisem aktualizującym wartość aktywów trwałych / średni kapitał zaangażowany (kapitał własny + dług netto) z ostatnich czterech kwartałów.</v>
      </c>
      <c r="D78" s="1000" t="str">
        <f>names!C325</f>
        <v>3) ROACE LIFO = profit from operations for the last four quarters under LIFO after tax before impairment allowances of non-current assets /average capital employed (equity + net debt) for the last four quarters.</v>
      </c>
      <c r="E78" s="1000"/>
      <c r="F78" s="1000"/>
      <c r="G78" s="1000"/>
      <c r="H78" s="1000"/>
      <c r="I78" s="1000"/>
      <c r="J78" s="1000"/>
      <c r="K78" s="1000"/>
      <c r="L78" s="1000"/>
      <c r="M78" s="1000"/>
      <c r="N78" s="1000"/>
      <c r="O78" s="1000"/>
      <c r="P78" s="1000"/>
      <c r="Q78" s="1000"/>
      <c r="R78" s="1000"/>
      <c r="S78" s="1000"/>
      <c r="T78" s="1000"/>
      <c r="U78" s="1000"/>
      <c r="V78" s="1000"/>
      <c r="W78" s="1000">
        <f>names!V325</f>
        <v>0</v>
      </c>
      <c r="X78" s="1000">
        <f>names!W325</f>
        <v>0</v>
      </c>
      <c r="Y78" s="1000">
        <f>names!X325</f>
        <v>0</v>
      </c>
      <c r="Z78" s="1000">
        <f>names!Y325</f>
        <v>0</v>
      </c>
      <c r="AA78" s="1000">
        <f>names!Z325</f>
        <v>0</v>
      </c>
      <c r="AG78" s="577"/>
    </row>
    <row r="79" spans="2:34">
      <c r="B79" s="1000" t="str">
        <f>names!$A326</f>
        <v>4) Dźwignia finansowa netto = dług netto / kapitał własny - wyliczone wg stanu na koniec okresu.</v>
      </c>
      <c r="C79" s="1000" t="str">
        <f>names!B326</f>
        <v>4) Dźwignia finansowa netto = dług netto / kapitał własny - wyliczone wg stanu na koniec okresu.</v>
      </c>
      <c r="D79" s="1000" t="str">
        <f>names!C326</f>
        <v>4) Net financial leverage = net debt / equity – calculated at the end of the period.</v>
      </c>
      <c r="E79" s="1000"/>
      <c r="F79" s="1000"/>
      <c r="G79" s="1000"/>
      <c r="H79" s="1000"/>
      <c r="I79" s="1000"/>
      <c r="J79" s="1000"/>
      <c r="K79" s="1000"/>
      <c r="L79" s="1000"/>
      <c r="M79" s="1000"/>
      <c r="N79" s="1000"/>
      <c r="O79" s="1000"/>
      <c r="P79" s="1000"/>
      <c r="Q79" s="1000"/>
      <c r="R79" s="1000"/>
      <c r="S79" s="1000"/>
      <c r="T79" s="1000"/>
      <c r="U79" s="1000"/>
      <c r="V79" s="1000"/>
      <c r="W79" s="1000">
        <f>names!V326</f>
        <v>0</v>
      </c>
      <c r="X79" s="1000">
        <f>names!W326</f>
        <v>0</v>
      </c>
      <c r="Y79" s="1000">
        <f>names!X326</f>
        <v>0</v>
      </c>
      <c r="Z79" s="1000">
        <f>names!Y326</f>
        <v>0</v>
      </c>
      <c r="AA79" s="1000">
        <f>names!Z326</f>
        <v>0</v>
      </c>
      <c r="AG79" s="577"/>
    </row>
    <row r="80" spans="2:34">
      <c r="B80" s="1000" t="str">
        <f>names!$A327</f>
        <v>5) Kowenant badany zgodnie z zapisami umów kredytowych bez uwzględnienia odpisów aktualizujących aktywów trwałych.</v>
      </c>
      <c r="C80" s="1000" t="str">
        <f>names!B327</f>
        <v>5) Kowenant badany zgodnie z zapisami umów kredytowych bez uwzględnienia odpisów aktualizujących aktywów trwałych.</v>
      </c>
      <c r="D80" s="1000" t="str">
        <f>names!C327</f>
        <v xml:space="preserve">5) Covenants tested according to loan agreements excluding impairment of non-current assets. </v>
      </c>
      <c r="E80" s="1000"/>
      <c r="F80" s="1000"/>
      <c r="G80" s="1000"/>
      <c r="H80" s="1000"/>
      <c r="I80" s="1000"/>
      <c r="J80" s="1000"/>
      <c r="K80" s="1000"/>
      <c r="L80" s="1000"/>
      <c r="M80" s="1000"/>
      <c r="N80" s="1000"/>
      <c r="O80" s="1000"/>
      <c r="P80" s="1000"/>
      <c r="Q80" s="1000"/>
      <c r="R80" s="1000"/>
      <c r="S80" s="1000"/>
      <c r="T80" s="1000"/>
      <c r="U80" s="1000"/>
      <c r="V80" s="1000"/>
      <c r="W80" s="1000">
        <f>names!V327</f>
        <v>0</v>
      </c>
      <c r="X80" s="1000">
        <f>names!W327</f>
        <v>0</v>
      </c>
      <c r="Y80" s="1000">
        <f>names!X327</f>
        <v>0</v>
      </c>
      <c r="Z80" s="1000">
        <f>names!Y327</f>
        <v>0</v>
      </c>
      <c r="AA80" s="1000">
        <f>names!Z327</f>
        <v>0</v>
      </c>
      <c r="AG80" s="577"/>
    </row>
    <row r="81" spans="2:33">
      <c r="B81" s="1000" t="str">
        <f>names!$A328</f>
        <v>6) Dług (odsetkowy) pomniejszony o środki pieniężne i ich ekwiwalenty na koniec okresu / EBITDA wg LIFO z ostatnich czterech kwartałów.</v>
      </c>
      <c r="C81" s="1000" t="str">
        <f>names!B328</f>
        <v>6) Dług (odsetkowy) pomniejszony o środki pieniężne i ich ekwiwalenty na koniec okresu / EBITDA wg LIFO z ostatnich czterech kwartałów.</v>
      </c>
      <c r="D81" s="1000" t="str">
        <f>names!C328</f>
        <v>6) Interest bearing debt net of cash and cash equivalents at the end of the period / EBITDA LIFO based on the LIFO method for the last four quarters.</v>
      </c>
      <c r="E81" s="1000"/>
      <c r="F81" s="1000"/>
      <c r="G81" s="1000"/>
      <c r="H81" s="1000"/>
      <c r="I81" s="1000"/>
      <c r="J81" s="1000"/>
      <c r="K81" s="1000"/>
      <c r="L81" s="1000"/>
      <c r="M81" s="1000"/>
      <c r="N81" s="1000"/>
      <c r="O81" s="1000"/>
      <c r="P81" s="1000"/>
      <c r="Q81" s="1000"/>
      <c r="R81" s="1000"/>
      <c r="S81" s="1000"/>
      <c r="T81" s="1000"/>
      <c r="AG81" s="577"/>
    </row>
    <row r="82" spans="2:33" ht="13.5" customHeight="1">
      <c r="B82" s="1000" t="str">
        <f>names!$A329</f>
        <v>7) Dług (odsetkowy) pomniejszony o środki pieniężne i ich ekwiwalenty na koniec okresu / EBITDA z ostatnich czterech kwartałów.</v>
      </c>
      <c r="C82" s="1000"/>
      <c r="D82" s="1000"/>
      <c r="E82" s="1000"/>
      <c r="F82" s="1000"/>
      <c r="G82" s="1000"/>
      <c r="H82" s="1000"/>
      <c r="I82" s="1000"/>
      <c r="J82" s="1000"/>
      <c r="K82" s="1000"/>
      <c r="L82" s="1000"/>
      <c r="M82" s="1000"/>
      <c r="N82" s="1000"/>
      <c r="O82" s="1000"/>
      <c r="P82" s="1000"/>
      <c r="Q82" s="1000"/>
      <c r="R82" s="1000"/>
      <c r="S82" s="1000"/>
      <c r="T82" s="1000"/>
      <c r="AG82" s="577"/>
    </row>
    <row r="83" spans="2:33">
      <c r="AG83" s="577"/>
    </row>
    <row r="84" spans="2:33">
      <c r="G84" s="482"/>
      <c r="L84" s="482"/>
      <c r="Q84" s="482"/>
      <c r="V84" s="482"/>
      <c r="AA84" s="482"/>
      <c r="AF84" s="482"/>
      <c r="AG84" s="577"/>
    </row>
    <row r="85" spans="2:33">
      <c r="B85" s="721"/>
      <c r="C85" s="721"/>
      <c r="D85" s="721"/>
      <c r="E85" s="721"/>
      <c r="F85" s="721"/>
      <c r="G85" s="482"/>
      <c r="H85" s="721"/>
      <c r="I85" s="721"/>
      <c r="J85" s="721"/>
      <c r="K85" s="721"/>
      <c r="L85" s="482"/>
      <c r="M85" s="721"/>
      <c r="N85" s="721"/>
      <c r="O85" s="721"/>
      <c r="P85" s="721"/>
      <c r="Q85" s="482"/>
      <c r="R85" s="721"/>
      <c r="S85" s="721"/>
      <c r="T85" s="721"/>
      <c r="U85" s="721"/>
      <c r="V85" s="482"/>
      <c r="W85" s="721"/>
      <c r="X85" s="721"/>
      <c r="Y85" s="721"/>
      <c r="Z85" s="721"/>
      <c r="AA85" s="482"/>
      <c r="AB85" s="721"/>
      <c r="AC85" s="721"/>
      <c r="AD85" s="721"/>
      <c r="AE85" s="721"/>
      <c r="AF85" s="482"/>
      <c r="AG85" s="577"/>
    </row>
    <row r="86" spans="2:33">
      <c r="G86" s="482"/>
      <c r="L86" s="482"/>
      <c r="Q86" s="482"/>
      <c r="V86" s="482"/>
      <c r="AA86" s="482"/>
      <c r="AF86" s="482"/>
    </row>
    <row r="87" spans="2:33">
      <c r="G87" s="482"/>
      <c r="L87" s="482"/>
      <c r="Q87" s="482"/>
      <c r="V87" s="482"/>
      <c r="AA87" s="482"/>
      <c r="AF87" s="482"/>
    </row>
    <row r="88" spans="2:33">
      <c r="G88" s="482"/>
      <c r="L88" s="482"/>
      <c r="Q88" s="482"/>
      <c r="V88" s="482"/>
      <c r="AA88" s="482"/>
      <c r="AF88" s="482"/>
    </row>
    <row r="89" spans="2:33" hidden="1" outlineLevel="1">
      <c r="B89" s="663" t="e">
        <v>#REF!</v>
      </c>
    </row>
    <row r="90" spans="2:33" hidden="1" outlineLevel="1">
      <c r="C90" s="478"/>
      <c r="D90" s="478"/>
      <c r="E90" s="478"/>
      <c r="F90" s="478"/>
      <c r="G90" s="478"/>
      <c r="H90" s="478"/>
      <c r="I90" s="478"/>
      <c r="J90" s="478"/>
      <c r="K90" s="478"/>
      <c r="L90" s="478"/>
      <c r="M90" s="478"/>
      <c r="N90" s="478"/>
      <c r="O90" s="478"/>
      <c r="P90" s="478"/>
      <c r="Q90" s="478"/>
      <c r="R90" s="478"/>
      <c r="S90" s="478"/>
      <c r="T90" s="478"/>
      <c r="U90" s="478"/>
      <c r="V90" s="478"/>
      <c r="W90" s="478"/>
      <c r="X90" s="478"/>
      <c r="Y90" s="478"/>
      <c r="Z90" s="774"/>
      <c r="AA90" s="774"/>
      <c r="AB90" s="478"/>
      <c r="AC90" s="478"/>
      <c r="AD90" s="478"/>
      <c r="AE90" s="774"/>
      <c r="AF90" s="774"/>
    </row>
    <row r="91" spans="2:33" hidden="1" outlineLevel="1">
      <c r="C91" s="478"/>
      <c r="D91" s="478"/>
      <c r="E91" s="478"/>
      <c r="F91" s="478"/>
      <c r="G91" s="478"/>
      <c r="H91" s="478"/>
      <c r="I91" s="478"/>
      <c r="J91" s="478"/>
      <c r="K91" s="478"/>
      <c r="L91" s="478"/>
      <c r="M91" s="478"/>
      <c r="N91" s="478"/>
      <c r="O91" s="478"/>
      <c r="P91" s="478"/>
      <c r="Q91" s="478"/>
      <c r="R91" s="478"/>
      <c r="S91" s="478"/>
      <c r="T91" s="478"/>
      <c r="U91" s="478"/>
      <c r="V91" s="478"/>
      <c r="W91" s="478"/>
      <c r="X91" s="478"/>
      <c r="Y91" s="478"/>
      <c r="Z91" s="774"/>
      <c r="AA91" s="774"/>
      <c r="AB91" s="478"/>
      <c r="AC91" s="478"/>
      <c r="AD91" s="478"/>
      <c r="AE91" s="774"/>
      <c r="AF91" s="774"/>
    </row>
    <row r="92" spans="2:33" hidden="1" outlineLevel="1">
      <c r="C92" s="478"/>
      <c r="D92" s="478"/>
      <c r="E92" s="478"/>
      <c r="F92" s="478"/>
      <c r="G92" s="478"/>
      <c r="H92" s="478"/>
      <c r="I92" s="478"/>
      <c r="J92" s="478"/>
      <c r="K92" s="478"/>
      <c r="L92" s="478"/>
      <c r="M92" s="478"/>
      <c r="N92" s="478"/>
      <c r="O92" s="478"/>
      <c r="P92" s="478"/>
      <c r="Q92" s="478"/>
      <c r="R92" s="478"/>
      <c r="S92" s="478"/>
      <c r="T92" s="478"/>
      <c r="U92" s="478"/>
      <c r="V92" s="478"/>
      <c r="W92" s="478"/>
      <c r="X92" s="478"/>
      <c r="Y92" s="478"/>
      <c r="Z92" s="774"/>
      <c r="AA92" s="774"/>
      <c r="AB92" s="478"/>
      <c r="AC92" s="478"/>
      <c r="AD92" s="478"/>
      <c r="AE92" s="774"/>
      <c r="AF92" s="774"/>
    </row>
    <row r="93" spans="2:33" hidden="1" outlineLevel="1">
      <c r="C93" s="478"/>
      <c r="D93" s="478"/>
      <c r="E93" s="478"/>
      <c r="F93" s="478"/>
      <c r="G93" s="478"/>
      <c r="H93" s="478"/>
      <c r="I93" s="478"/>
      <c r="J93" s="478"/>
      <c r="K93" s="478"/>
      <c r="L93" s="478"/>
      <c r="M93" s="478"/>
      <c r="N93" s="478"/>
      <c r="O93" s="478"/>
      <c r="P93" s="478"/>
      <c r="Q93" s="478"/>
      <c r="R93" s="478"/>
      <c r="S93" s="478"/>
      <c r="T93" s="478"/>
      <c r="U93" s="478"/>
      <c r="V93" s="478"/>
      <c r="W93" s="478"/>
      <c r="X93" s="478"/>
      <c r="Y93" s="478"/>
      <c r="Z93" s="774"/>
      <c r="AA93" s="774"/>
      <c r="AB93" s="478"/>
      <c r="AC93" s="478"/>
      <c r="AD93" s="478"/>
      <c r="AE93" s="774"/>
      <c r="AF93" s="774"/>
    </row>
    <row r="94" spans="2:33" hidden="1" outlineLevel="1">
      <c r="C94" s="478"/>
      <c r="D94" s="478"/>
      <c r="E94" s="478"/>
      <c r="F94" s="478"/>
      <c r="G94" s="478"/>
      <c r="H94" s="478"/>
      <c r="I94" s="478"/>
      <c r="J94" s="478"/>
      <c r="K94" s="478"/>
      <c r="L94" s="478"/>
      <c r="M94" s="478"/>
      <c r="N94" s="478"/>
      <c r="O94" s="478"/>
      <c r="P94" s="478"/>
      <c r="Q94" s="478"/>
      <c r="R94" s="478"/>
      <c r="S94" s="478"/>
      <c r="T94" s="478"/>
      <c r="U94" s="478"/>
      <c r="V94" s="478"/>
      <c r="W94" s="478"/>
      <c r="X94" s="478"/>
      <c r="Y94" s="478"/>
      <c r="Z94" s="774"/>
      <c r="AA94" s="774"/>
      <c r="AB94" s="478"/>
      <c r="AC94" s="478"/>
      <c r="AD94" s="478"/>
      <c r="AE94" s="774"/>
      <c r="AF94" s="774"/>
    </row>
    <row r="95" spans="2:33" hidden="1" outlineLevel="1">
      <c r="C95" s="478"/>
      <c r="D95" s="478"/>
      <c r="E95" s="478"/>
      <c r="F95" s="478"/>
      <c r="G95" s="478"/>
      <c r="H95" s="478"/>
      <c r="I95" s="478"/>
      <c r="J95" s="478"/>
      <c r="K95" s="478"/>
      <c r="L95" s="478"/>
      <c r="M95" s="478"/>
      <c r="N95" s="478"/>
      <c r="O95" s="478"/>
      <c r="P95" s="478"/>
      <c r="Q95" s="478"/>
      <c r="R95" s="478"/>
      <c r="S95" s="478"/>
      <c r="T95" s="478"/>
      <c r="U95" s="478"/>
      <c r="V95" s="478"/>
      <c r="W95" s="478"/>
      <c r="X95" s="478"/>
      <c r="Y95" s="478"/>
      <c r="Z95" s="774"/>
      <c r="AA95" s="774"/>
      <c r="AB95" s="478"/>
      <c r="AC95" s="478"/>
      <c r="AD95" s="478"/>
      <c r="AE95" s="774"/>
      <c r="AF95" s="774"/>
    </row>
    <row r="96" spans="2:33" hidden="1" outlineLevel="1">
      <c r="C96" s="478"/>
      <c r="D96" s="478"/>
      <c r="E96" s="478"/>
      <c r="F96" s="478"/>
      <c r="G96" s="478"/>
      <c r="H96" s="478"/>
      <c r="I96" s="478"/>
      <c r="J96" s="478"/>
      <c r="K96" s="478"/>
      <c r="L96" s="478"/>
      <c r="M96" s="478"/>
      <c r="N96" s="478"/>
      <c r="O96" s="478"/>
      <c r="P96" s="478"/>
      <c r="Q96" s="478"/>
      <c r="R96" s="478"/>
      <c r="S96" s="478"/>
      <c r="T96" s="478"/>
      <c r="U96" s="478"/>
      <c r="V96" s="478"/>
      <c r="W96" s="478"/>
      <c r="X96" s="478"/>
      <c r="Y96" s="478"/>
      <c r="Z96" s="774"/>
      <c r="AA96" s="774"/>
      <c r="AB96" s="478"/>
      <c r="AC96" s="478"/>
      <c r="AD96" s="478"/>
      <c r="AE96" s="774"/>
      <c r="AF96" s="774"/>
    </row>
    <row r="97" spans="3:32" hidden="1" outlineLevel="1">
      <c r="C97" s="478"/>
      <c r="D97" s="478"/>
      <c r="E97" s="478"/>
      <c r="F97" s="478"/>
      <c r="G97" s="478"/>
      <c r="H97" s="478"/>
      <c r="I97" s="478"/>
      <c r="J97" s="478"/>
      <c r="K97" s="478"/>
      <c r="L97" s="478"/>
      <c r="M97" s="478"/>
      <c r="N97" s="478"/>
      <c r="O97" s="478"/>
      <c r="P97" s="478"/>
      <c r="Q97" s="478"/>
      <c r="R97" s="478"/>
      <c r="S97" s="478"/>
      <c r="T97" s="478"/>
      <c r="U97" s="478"/>
      <c r="V97" s="478"/>
      <c r="W97" s="478"/>
      <c r="X97" s="478"/>
      <c r="Y97" s="478"/>
      <c r="Z97" s="774"/>
      <c r="AA97" s="774"/>
      <c r="AB97" s="478"/>
      <c r="AC97" s="478"/>
      <c r="AD97" s="478"/>
      <c r="AE97" s="774"/>
      <c r="AF97" s="774"/>
    </row>
    <row r="98" spans="3:32" hidden="1" outlineLevel="1">
      <c r="C98" s="478"/>
      <c r="D98" s="478"/>
      <c r="E98" s="478"/>
      <c r="F98" s="478"/>
      <c r="G98" s="478"/>
      <c r="H98" s="478"/>
      <c r="I98" s="478"/>
      <c r="J98" s="478"/>
      <c r="K98" s="478"/>
      <c r="L98" s="478"/>
      <c r="M98" s="478"/>
      <c r="N98" s="478"/>
      <c r="O98" s="478"/>
      <c r="P98" s="478"/>
      <c r="Q98" s="478"/>
      <c r="R98" s="478"/>
      <c r="S98" s="478"/>
      <c r="T98" s="478"/>
      <c r="U98" s="478"/>
      <c r="V98" s="478"/>
      <c r="W98" s="478"/>
      <c r="X98" s="478"/>
      <c r="Y98" s="478"/>
      <c r="Z98" s="774"/>
      <c r="AA98" s="774"/>
      <c r="AB98" s="478"/>
      <c r="AC98" s="478"/>
      <c r="AD98" s="478"/>
      <c r="AE98" s="774"/>
      <c r="AF98" s="774"/>
    </row>
    <row r="99" spans="3:32" hidden="1" outlineLevel="1">
      <c r="C99" s="478"/>
      <c r="D99" s="478"/>
      <c r="E99" s="478"/>
      <c r="F99" s="478"/>
      <c r="G99" s="478"/>
      <c r="H99" s="478"/>
      <c r="I99" s="478"/>
      <c r="J99" s="478"/>
      <c r="K99" s="478"/>
      <c r="L99" s="478"/>
      <c r="M99" s="478"/>
      <c r="N99" s="478"/>
      <c r="O99" s="478"/>
      <c r="P99" s="478"/>
      <c r="Q99" s="478"/>
      <c r="R99" s="478"/>
      <c r="S99" s="478"/>
      <c r="T99" s="478"/>
      <c r="U99" s="478"/>
      <c r="V99" s="478"/>
      <c r="W99" s="478"/>
      <c r="X99" s="478"/>
      <c r="Y99" s="478"/>
      <c r="Z99" s="774"/>
      <c r="AA99" s="774"/>
      <c r="AB99" s="478"/>
      <c r="AC99" s="478"/>
      <c r="AD99" s="478"/>
      <c r="AE99" s="774"/>
      <c r="AF99" s="774"/>
    </row>
    <row r="100" spans="3:32" hidden="1" outlineLevel="1">
      <c r="C100" s="478"/>
      <c r="D100" s="478"/>
      <c r="E100" s="478"/>
      <c r="F100" s="478"/>
      <c r="G100" s="478"/>
      <c r="H100" s="478"/>
      <c r="I100" s="478"/>
      <c r="J100" s="478"/>
      <c r="K100" s="478"/>
      <c r="L100" s="478"/>
      <c r="M100" s="478"/>
      <c r="N100" s="478"/>
      <c r="O100" s="478"/>
      <c r="P100" s="478"/>
      <c r="Q100" s="478"/>
      <c r="R100" s="478"/>
      <c r="S100" s="478"/>
      <c r="T100" s="478"/>
      <c r="U100" s="478"/>
      <c r="V100" s="478"/>
      <c r="W100" s="478"/>
      <c r="X100" s="478"/>
      <c r="Y100" s="478"/>
      <c r="Z100" s="774"/>
      <c r="AA100" s="774"/>
      <c r="AB100" s="478"/>
      <c r="AC100" s="478"/>
      <c r="AD100" s="478"/>
      <c r="AE100" s="774"/>
      <c r="AF100" s="774"/>
    </row>
    <row r="101" spans="3:32" hidden="1" outlineLevel="1">
      <c r="C101" s="478"/>
      <c r="D101" s="478"/>
      <c r="E101" s="478"/>
      <c r="F101" s="478"/>
      <c r="G101" s="478"/>
      <c r="H101" s="478"/>
      <c r="I101" s="478"/>
      <c r="J101" s="478"/>
      <c r="K101" s="478"/>
      <c r="L101" s="478"/>
      <c r="M101" s="478"/>
      <c r="N101" s="478"/>
      <c r="O101" s="478"/>
      <c r="P101" s="478"/>
      <c r="Q101" s="478"/>
      <c r="R101" s="478"/>
      <c r="S101" s="478"/>
      <c r="T101" s="478"/>
      <c r="U101" s="478"/>
      <c r="V101" s="478"/>
      <c r="W101" s="478"/>
      <c r="X101" s="478"/>
      <c r="Y101" s="478"/>
      <c r="Z101" s="774"/>
      <c r="AA101" s="774"/>
      <c r="AB101" s="478"/>
      <c r="AC101" s="478"/>
      <c r="AD101" s="478"/>
      <c r="AE101" s="774"/>
      <c r="AF101" s="774"/>
    </row>
    <row r="102" spans="3:32" hidden="1" outlineLevel="1">
      <c r="C102" s="478"/>
      <c r="D102" s="478"/>
      <c r="E102" s="478"/>
      <c r="F102" s="478"/>
      <c r="G102" s="478"/>
      <c r="H102" s="478"/>
      <c r="I102" s="478"/>
      <c r="J102" s="478"/>
      <c r="K102" s="478"/>
      <c r="L102" s="478"/>
      <c r="M102" s="478"/>
      <c r="N102" s="478"/>
      <c r="O102" s="478"/>
      <c r="P102" s="478"/>
      <c r="Q102" s="478"/>
      <c r="R102" s="478"/>
      <c r="S102" s="478"/>
      <c r="T102" s="478"/>
      <c r="U102" s="478"/>
      <c r="V102" s="478"/>
      <c r="W102" s="478"/>
      <c r="X102" s="478"/>
      <c r="Y102" s="478"/>
      <c r="Z102" s="774"/>
      <c r="AA102" s="774"/>
      <c r="AB102" s="478"/>
      <c r="AC102" s="478"/>
      <c r="AD102" s="478"/>
      <c r="AE102" s="774"/>
      <c r="AF102" s="774"/>
    </row>
    <row r="103" spans="3:32" hidden="1" outlineLevel="1">
      <c r="C103" s="478"/>
      <c r="D103" s="478"/>
      <c r="E103" s="478"/>
      <c r="F103" s="478"/>
      <c r="G103" s="478"/>
      <c r="H103" s="478"/>
      <c r="I103" s="478"/>
      <c r="J103" s="478"/>
      <c r="K103" s="478"/>
      <c r="L103" s="478"/>
      <c r="M103" s="478"/>
      <c r="N103" s="478"/>
      <c r="O103" s="478"/>
      <c r="P103" s="478"/>
      <c r="Q103" s="478"/>
      <c r="R103" s="478"/>
      <c r="S103" s="478"/>
      <c r="T103" s="478"/>
      <c r="U103" s="478"/>
      <c r="V103" s="478"/>
      <c r="W103" s="478"/>
      <c r="X103" s="478"/>
      <c r="Y103" s="478"/>
      <c r="Z103" s="774"/>
      <c r="AA103" s="774"/>
      <c r="AB103" s="478"/>
      <c r="AC103" s="478"/>
      <c r="AD103" s="478"/>
      <c r="AE103" s="774"/>
      <c r="AF103" s="774"/>
    </row>
    <row r="104" spans="3:32" hidden="1" outlineLevel="1">
      <c r="C104" s="478"/>
      <c r="D104" s="478"/>
      <c r="E104" s="478"/>
      <c r="F104" s="478"/>
      <c r="G104" s="478"/>
      <c r="H104" s="478"/>
      <c r="I104" s="478"/>
      <c r="J104" s="478"/>
      <c r="K104" s="478"/>
      <c r="L104" s="478"/>
      <c r="M104" s="478"/>
      <c r="N104" s="478"/>
      <c r="O104" s="478"/>
      <c r="P104" s="478"/>
      <c r="Q104" s="478"/>
      <c r="R104" s="478"/>
      <c r="S104" s="478"/>
      <c r="T104" s="478"/>
      <c r="U104" s="478"/>
      <c r="V104" s="478"/>
      <c r="W104" s="478"/>
      <c r="X104" s="478"/>
      <c r="Y104" s="478"/>
      <c r="Z104" s="774"/>
      <c r="AA104" s="774"/>
      <c r="AB104" s="478"/>
      <c r="AC104" s="478"/>
      <c r="AD104" s="478"/>
      <c r="AE104" s="774"/>
      <c r="AF104" s="774"/>
    </row>
    <row r="105" spans="3:32" hidden="1" outlineLevel="1">
      <c r="C105" s="478"/>
      <c r="D105" s="478"/>
      <c r="E105" s="478"/>
      <c r="F105" s="478"/>
      <c r="G105" s="478"/>
      <c r="H105" s="478"/>
      <c r="I105" s="478"/>
      <c r="J105" s="478"/>
      <c r="K105" s="478"/>
      <c r="L105" s="478"/>
      <c r="M105" s="478"/>
      <c r="N105" s="478"/>
      <c r="O105" s="478"/>
      <c r="P105" s="478"/>
      <c r="Q105" s="478"/>
      <c r="R105" s="478"/>
      <c r="S105" s="478"/>
      <c r="T105" s="478"/>
      <c r="U105" s="478"/>
      <c r="V105" s="478"/>
      <c r="W105" s="478"/>
      <c r="X105" s="478"/>
      <c r="Y105" s="478"/>
      <c r="Z105" s="478"/>
      <c r="AA105" s="478"/>
      <c r="AB105" s="478"/>
      <c r="AC105" s="478"/>
      <c r="AD105" s="478"/>
      <c r="AE105" s="478"/>
      <c r="AF105" s="478"/>
    </row>
    <row r="106" spans="3:32" hidden="1" outlineLevel="1">
      <c r="C106" s="478"/>
      <c r="D106" s="478"/>
      <c r="E106" s="478"/>
      <c r="F106" s="478"/>
      <c r="G106" s="478"/>
      <c r="H106" s="478"/>
      <c r="I106" s="478"/>
      <c r="J106" s="478"/>
      <c r="K106" s="478"/>
      <c r="L106" s="478"/>
      <c r="M106" s="478"/>
      <c r="N106" s="478"/>
      <c r="O106" s="478"/>
      <c r="P106" s="478"/>
      <c r="Q106" s="478"/>
      <c r="R106" s="478"/>
      <c r="S106" s="478"/>
      <c r="T106" s="478"/>
      <c r="U106" s="478"/>
      <c r="V106" s="478"/>
      <c r="W106" s="478"/>
      <c r="X106" s="478"/>
      <c r="Y106" s="478"/>
      <c r="Z106" s="774"/>
      <c r="AA106" s="774"/>
      <c r="AB106" s="478"/>
      <c r="AC106" s="478"/>
      <c r="AD106" s="478"/>
      <c r="AE106" s="774"/>
      <c r="AF106" s="774"/>
    </row>
    <row r="107" spans="3:32" hidden="1" outlineLevel="1">
      <c r="C107" s="478"/>
      <c r="D107" s="478"/>
      <c r="E107" s="478"/>
      <c r="F107" s="478"/>
      <c r="G107" s="478"/>
      <c r="H107" s="478"/>
      <c r="I107" s="478"/>
      <c r="J107" s="478"/>
      <c r="K107" s="478"/>
      <c r="L107" s="478"/>
      <c r="M107" s="478"/>
      <c r="N107" s="478"/>
      <c r="O107" s="478"/>
      <c r="P107" s="478"/>
      <c r="Q107" s="478"/>
      <c r="R107" s="478"/>
      <c r="S107" s="478"/>
      <c r="T107" s="478"/>
      <c r="U107" s="478"/>
      <c r="V107" s="478"/>
      <c r="W107" s="478"/>
      <c r="X107" s="478"/>
      <c r="Y107" s="478"/>
      <c r="Z107" s="774"/>
      <c r="AA107" s="774"/>
      <c r="AB107" s="478"/>
      <c r="AC107" s="478"/>
      <c r="AD107" s="478"/>
      <c r="AE107" s="774"/>
      <c r="AF107" s="774"/>
    </row>
    <row r="108" spans="3:32" hidden="1" outlineLevel="1">
      <c r="C108" s="478"/>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774"/>
      <c r="AA108" s="774"/>
      <c r="AB108" s="478"/>
      <c r="AC108" s="478"/>
      <c r="AD108" s="478"/>
      <c r="AE108" s="774"/>
      <c r="AF108" s="774"/>
    </row>
    <row r="109" spans="3:32" hidden="1" outlineLevel="1">
      <c r="C109" s="478"/>
      <c r="D109" s="478"/>
      <c r="E109" s="478"/>
      <c r="F109" s="478"/>
      <c r="G109" s="478"/>
      <c r="H109" s="478"/>
      <c r="I109" s="478"/>
      <c r="J109" s="478"/>
      <c r="K109" s="478"/>
      <c r="L109" s="478"/>
      <c r="M109" s="478"/>
      <c r="N109" s="478"/>
      <c r="O109" s="478"/>
      <c r="P109" s="478"/>
      <c r="Q109" s="478"/>
      <c r="R109" s="478"/>
      <c r="S109" s="478"/>
      <c r="T109" s="478"/>
      <c r="U109" s="478"/>
      <c r="V109" s="478"/>
      <c r="W109" s="478"/>
      <c r="X109" s="478"/>
      <c r="Y109" s="478"/>
      <c r="Z109" s="774"/>
      <c r="AA109" s="774"/>
      <c r="AB109" s="478"/>
      <c r="AC109" s="478"/>
      <c r="AD109" s="478"/>
      <c r="AE109" s="774"/>
      <c r="AF109" s="774"/>
    </row>
    <row r="110" spans="3:32" hidden="1" outlineLevel="1">
      <c r="C110" s="478"/>
      <c r="D110" s="478"/>
      <c r="E110" s="478"/>
      <c r="F110" s="478"/>
      <c r="G110" s="478"/>
      <c r="H110" s="478"/>
      <c r="I110" s="478"/>
      <c r="J110" s="478"/>
      <c r="K110" s="478"/>
      <c r="L110" s="478"/>
      <c r="M110" s="478"/>
      <c r="N110" s="478"/>
      <c r="O110" s="478"/>
      <c r="P110" s="478"/>
      <c r="Q110" s="478"/>
      <c r="R110" s="478"/>
      <c r="S110" s="478"/>
      <c r="T110" s="478"/>
      <c r="U110" s="478"/>
      <c r="V110" s="478"/>
      <c r="W110" s="478"/>
      <c r="X110" s="478"/>
      <c r="Y110" s="478"/>
      <c r="Z110" s="774"/>
      <c r="AA110" s="774"/>
      <c r="AB110" s="478"/>
      <c r="AC110" s="478"/>
      <c r="AD110" s="478"/>
      <c r="AE110" s="774"/>
      <c r="AF110" s="774"/>
    </row>
    <row r="111" spans="3:32" hidden="1" outlineLevel="1">
      <c r="C111" s="478"/>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774"/>
      <c r="AA111" s="774"/>
      <c r="AB111" s="478"/>
      <c r="AC111" s="478"/>
      <c r="AD111" s="478"/>
      <c r="AE111" s="774"/>
      <c r="AF111" s="774"/>
    </row>
    <row r="112" spans="3:32" hidden="1" outlineLevel="1">
      <c r="C112" s="478"/>
      <c r="D112" s="478"/>
      <c r="E112" s="478"/>
      <c r="F112" s="478"/>
      <c r="G112" s="478"/>
      <c r="H112" s="478"/>
      <c r="I112" s="478"/>
      <c r="J112" s="478"/>
      <c r="K112" s="478"/>
      <c r="L112" s="478"/>
      <c r="M112" s="478"/>
      <c r="N112" s="478"/>
      <c r="O112" s="478"/>
      <c r="P112" s="478"/>
      <c r="Q112" s="478"/>
      <c r="R112" s="478"/>
      <c r="S112" s="478"/>
      <c r="T112" s="478"/>
      <c r="U112" s="478"/>
      <c r="V112" s="478"/>
      <c r="W112" s="478"/>
      <c r="X112" s="478"/>
      <c r="Y112" s="478"/>
      <c r="Z112" s="774"/>
      <c r="AA112" s="774"/>
      <c r="AB112" s="478"/>
      <c r="AC112" s="478"/>
      <c r="AD112" s="478"/>
      <c r="AE112" s="774"/>
      <c r="AF112" s="774"/>
    </row>
    <row r="113" spans="3:32" hidden="1" outlineLevel="1">
      <c r="C113" s="478"/>
      <c r="D113" s="478"/>
      <c r="E113" s="478"/>
      <c r="F113" s="478"/>
      <c r="G113" s="478"/>
      <c r="H113" s="478"/>
      <c r="I113" s="478"/>
      <c r="J113" s="478"/>
      <c r="K113" s="478"/>
      <c r="L113" s="478"/>
      <c r="M113" s="478"/>
      <c r="N113" s="478"/>
      <c r="O113" s="478"/>
      <c r="P113" s="478"/>
      <c r="Q113" s="478"/>
      <c r="R113" s="478"/>
      <c r="S113" s="478"/>
      <c r="T113" s="478"/>
      <c r="U113" s="478"/>
      <c r="V113" s="478"/>
      <c r="W113" s="478"/>
      <c r="X113" s="478"/>
      <c r="Y113" s="478"/>
      <c r="Z113" s="774"/>
      <c r="AA113" s="774"/>
      <c r="AB113" s="478"/>
      <c r="AC113" s="478"/>
      <c r="AD113" s="478"/>
      <c r="AE113" s="774"/>
      <c r="AF113" s="774"/>
    </row>
    <row r="114" spans="3:32" hidden="1" outlineLevel="1">
      <c r="C114" s="478"/>
      <c r="D114" s="478"/>
      <c r="E114" s="478"/>
      <c r="F114" s="478"/>
      <c r="G114" s="478"/>
      <c r="H114" s="478"/>
      <c r="I114" s="478"/>
      <c r="J114" s="478"/>
      <c r="K114" s="478"/>
      <c r="L114" s="478"/>
      <c r="M114" s="478"/>
      <c r="N114" s="478"/>
      <c r="O114" s="478"/>
      <c r="P114" s="478"/>
      <c r="Q114" s="478"/>
      <c r="R114" s="478"/>
      <c r="S114" s="478"/>
      <c r="T114" s="478"/>
      <c r="U114" s="478"/>
      <c r="V114" s="478"/>
      <c r="W114" s="478"/>
      <c r="X114" s="478"/>
      <c r="Y114" s="478"/>
      <c r="Z114" s="478"/>
      <c r="AA114" s="478"/>
      <c r="AB114" s="478"/>
      <c r="AC114" s="478"/>
      <c r="AD114" s="478"/>
      <c r="AE114" s="478"/>
      <c r="AF114" s="478"/>
    </row>
    <row r="115" spans="3:32" hidden="1" outlineLevel="1">
      <c r="C115" s="478"/>
      <c r="D115" s="478"/>
      <c r="E115" s="478"/>
      <c r="F115" s="478"/>
      <c r="G115" s="478"/>
      <c r="H115" s="478"/>
      <c r="I115" s="478"/>
      <c r="J115" s="478"/>
      <c r="K115" s="478"/>
      <c r="L115" s="478"/>
      <c r="M115" s="478"/>
      <c r="N115" s="478"/>
      <c r="O115" s="478"/>
      <c r="P115" s="478"/>
      <c r="Q115" s="478"/>
      <c r="R115" s="478"/>
      <c r="S115" s="478"/>
      <c r="T115" s="478"/>
      <c r="U115" s="478"/>
      <c r="V115" s="478"/>
      <c r="W115" s="478"/>
      <c r="X115" s="478"/>
      <c r="Y115" s="478"/>
      <c r="Z115" s="774"/>
      <c r="AA115" s="774"/>
      <c r="AB115" s="478"/>
      <c r="AC115" s="478"/>
      <c r="AD115" s="478"/>
      <c r="AE115" s="774"/>
      <c r="AF115" s="774"/>
    </row>
    <row r="116" spans="3:32" hidden="1" outlineLevel="1">
      <c r="C116" s="478"/>
      <c r="D116" s="478"/>
      <c r="E116" s="478"/>
      <c r="F116" s="478"/>
      <c r="G116" s="478"/>
      <c r="H116" s="478"/>
      <c r="I116" s="478"/>
      <c r="J116" s="478"/>
      <c r="K116" s="478"/>
      <c r="L116" s="478"/>
      <c r="M116" s="478"/>
      <c r="N116" s="478"/>
      <c r="O116" s="478"/>
      <c r="P116" s="478"/>
      <c r="Q116" s="478"/>
      <c r="R116" s="478"/>
      <c r="S116" s="478"/>
      <c r="T116" s="478"/>
      <c r="U116" s="478"/>
      <c r="V116" s="478"/>
      <c r="W116" s="478"/>
      <c r="X116" s="478"/>
      <c r="Y116" s="478"/>
      <c r="Z116" s="774"/>
      <c r="AA116" s="774"/>
      <c r="AB116" s="478"/>
      <c r="AC116" s="478"/>
      <c r="AD116" s="478"/>
      <c r="AE116" s="774"/>
      <c r="AF116" s="774"/>
    </row>
    <row r="117" spans="3:32" hidden="1" outlineLevel="1">
      <c r="C117" s="478"/>
      <c r="D117" s="478"/>
      <c r="E117" s="478"/>
      <c r="F117" s="478"/>
      <c r="G117" s="478"/>
      <c r="H117" s="478"/>
      <c r="I117" s="478"/>
      <c r="J117" s="478"/>
      <c r="K117" s="478"/>
      <c r="L117" s="478"/>
      <c r="M117" s="478"/>
      <c r="N117" s="478"/>
      <c r="O117" s="478"/>
      <c r="P117" s="478"/>
      <c r="Q117" s="478"/>
      <c r="R117" s="478"/>
      <c r="S117" s="478"/>
      <c r="T117" s="478"/>
      <c r="U117" s="478"/>
      <c r="V117" s="478"/>
      <c r="W117" s="478"/>
      <c r="X117" s="478"/>
      <c r="Y117" s="478"/>
      <c r="Z117" s="774"/>
      <c r="AA117" s="774"/>
      <c r="AB117" s="478"/>
      <c r="AC117" s="478"/>
      <c r="AD117" s="478"/>
      <c r="AE117" s="774"/>
      <c r="AF117" s="774"/>
    </row>
    <row r="118" spans="3:32" hidden="1" outlineLevel="1">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774"/>
      <c r="AA118" s="774"/>
      <c r="AB118" s="478"/>
      <c r="AC118" s="478"/>
      <c r="AD118" s="478"/>
      <c r="AE118" s="774"/>
      <c r="AF118" s="774"/>
    </row>
    <row r="119" spans="3:32" hidden="1" outlineLevel="1">
      <c r="C119" s="478"/>
      <c r="D119" s="478"/>
      <c r="E119" s="478"/>
      <c r="F119" s="478"/>
      <c r="G119" s="478"/>
      <c r="H119" s="478"/>
      <c r="I119" s="478"/>
      <c r="J119" s="478"/>
      <c r="K119" s="478"/>
      <c r="L119" s="478"/>
      <c r="M119" s="478"/>
      <c r="N119" s="478"/>
      <c r="O119" s="478"/>
      <c r="P119" s="478"/>
      <c r="Q119" s="478"/>
      <c r="R119" s="478"/>
      <c r="S119" s="478"/>
      <c r="T119" s="478"/>
      <c r="U119" s="478"/>
      <c r="V119" s="478"/>
      <c r="W119" s="478"/>
      <c r="X119" s="478"/>
      <c r="Y119" s="478"/>
      <c r="Z119" s="478"/>
      <c r="AA119" s="478"/>
      <c r="AB119" s="478"/>
      <c r="AC119" s="478"/>
      <c r="AD119" s="478"/>
      <c r="AE119" s="478"/>
      <c r="AF119" s="478"/>
    </row>
    <row r="120" spans="3:32" hidden="1" outlineLevel="1">
      <c r="C120" s="478"/>
      <c r="D120" s="478"/>
      <c r="E120" s="478"/>
      <c r="F120" s="478"/>
      <c r="G120" s="478"/>
      <c r="H120" s="478"/>
      <c r="I120" s="478"/>
      <c r="J120" s="478"/>
      <c r="K120" s="478"/>
      <c r="L120" s="478"/>
      <c r="M120" s="478"/>
      <c r="N120" s="478"/>
      <c r="O120" s="478"/>
      <c r="P120" s="478"/>
      <c r="Q120" s="478"/>
      <c r="R120" s="478"/>
      <c r="S120" s="478"/>
      <c r="T120" s="478"/>
      <c r="U120" s="478"/>
      <c r="V120" s="478"/>
      <c r="W120" s="478"/>
      <c r="X120" s="478"/>
      <c r="Y120" s="478"/>
      <c r="Z120" s="774"/>
      <c r="AA120" s="774"/>
      <c r="AB120" s="478"/>
      <c r="AC120" s="478"/>
      <c r="AD120" s="478"/>
      <c r="AE120" s="774"/>
      <c r="AF120" s="774"/>
    </row>
    <row r="121" spans="3:32" hidden="1" outlineLevel="1">
      <c r="C121" s="478"/>
      <c r="D121" s="478"/>
      <c r="E121" s="478"/>
      <c r="F121" s="478"/>
      <c r="G121" s="478"/>
      <c r="H121" s="478"/>
      <c r="I121" s="478"/>
      <c r="J121" s="478"/>
      <c r="K121" s="478"/>
      <c r="L121" s="478"/>
      <c r="M121" s="478"/>
      <c r="N121" s="478"/>
      <c r="O121" s="478"/>
      <c r="P121" s="478"/>
      <c r="Q121" s="478"/>
      <c r="R121" s="478"/>
      <c r="S121" s="478"/>
      <c r="T121" s="478"/>
      <c r="U121" s="478"/>
      <c r="V121" s="478"/>
      <c r="W121" s="478"/>
      <c r="X121" s="478"/>
      <c r="Y121" s="478"/>
      <c r="Z121" s="774"/>
      <c r="AA121" s="774"/>
      <c r="AB121" s="478"/>
      <c r="AC121" s="478"/>
      <c r="AD121" s="478"/>
      <c r="AE121" s="774"/>
      <c r="AF121" s="774"/>
    </row>
    <row r="122" spans="3:32" hidden="1" outlineLevel="1">
      <c r="C122" s="478"/>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774"/>
      <c r="AA122" s="774"/>
      <c r="AB122" s="478"/>
      <c r="AC122" s="478"/>
      <c r="AD122" s="478"/>
      <c r="AE122" s="774"/>
      <c r="AF122" s="774"/>
    </row>
    <row r="123" spans="3:32" hidden="1" outlineLevel="1">
      <c r="C123" s="478"/>
      <c r="D123" s="478"/>
      <c r="E123" s="478"/>
      <c r="F123" s="478"/>
      <c r="G123" s="478"/>
      <c r="H123" s="478"/>
      <c r="I123" s="478"/>
      <c r="J123" s="478"/>
      <c r="K123" s="478"/>
      <c r="L123" s="478"/>
      <c r="M123" s="478"/>
      <c r="N123" s="478"/>
      <c r="O123" s="478"/>
      <c r="P123" s="478"/>
      <c r="Q123" s="478"/>
      <c r="R123" s="478"/>
      <c r="S123" s="478"/>
      <c r="T123" s="478"/>
      <c r="U123" s="478"/>
      <c r="V123" s="478"/>
      <c r="W123" s="478"/>
      <c r="X123" s="478"/>
      <c r="Y123" s="478"/>
      <c r="Z123" s="478"/>
      <c r="AA123" s="478"/>
      <c r="AB123" s="478"/>
      <c r="AC123" s="478"/>
      <c r="AD123" s="478"/>
      <c r="AE123" s="478"/>
      <c r="AF123" s="478"/>
    </row>
    <row r="124" spans="3:32" hidden="1" outlineLevel="1">
      <c r="C124" s="478"/>
      <c r="D124" s="478"/>
      <c r="E124" s="478"/>
      <c r="F124" s="478"/>
      <c r="G124" s="478"/>
      <c r="H124" s="478"/>
      <c r="I124" s="478"/>
      <c r="J124" s="478"/>
      <c r="K124" s="478"/>
      <c r="L124" s="478"/>
      <c r="M124" s="478"/>
      <c r="N124" s="478"/>
      <c r="O124" s="478"/>
      <c r="P124" s="478"/>
      <c r="Q124" s="478"/>
      <c r="R124" s="478"/>
      <c r="S124" s="478"/>
      <c r="T124" s="478"/>
      <c r="U124" s="478"/>
      <c r="V124" s="478"/>
      <c r="W124" s="478"/>
      <c r="X124" s="478"/>
      <c r="Y124" s="478"/>
      <c r="Z124" s="774"/>
      <c r="AA124" s="774"/>
      <c r="AB124" s="478"/>
      <c r="AC124" s="478"/>
      <c r="AD124" s="478"/>
      <c r="AE124" s="774"/>
      <c r="AF124" s="774"/>
    </row>
    <row r="125" spans="3:32" hidden="1" outlineLevel="1">
      <c r="C125" s="478"/>
      <c r="D125" s="478"/>
      <c r="E125" s="478"/>
      <c r="F125" s="478"/>
      <c r="G125" s="478"/>
      <c r="H125" s="478"/>
      <c r="I125" s="478"/>
      <c r="J125" s="478"/>
      <c r="K125" s="478"/>
      <c r="L125" s="478"/>
      <c r="M125" s="478"/>
      <c r="N125" s="478"/>
      <c r="O125" s="478"/>
      <c r="P125" s="478"/>
      <c r="Q125" s="478"/>
      <c r="R125" s="478"/>
      <c r="S125" s="478"/>
      <c r="T125" s="478"/>
      <c r="U125" s="478"/>
      <c r="V125" s="478"/>
      <c r="W125" s="478"/>
      <c r="X125" s="478"/>
      <c r="Y125" s="478"/>
      <c r="Z125" s="774"/>
      <c r="AA125" s="774"/>
      <c r="AB125" s="478"/>
      <c r="AC125" s="478"/>
      <c r="AD125" s="478"/>
      <c r="AE125" s="774"/>
      <c r="AF125" s="774"/>
    </row>
    <row r="126" spans="3:32" hidden="1" outlineLevel="1">
      <c r="C126" s="478"/>
      <c r="D126" s="478"/>
      <c r="E126" s="478"/>
      <c r="F126" s="478"/>
      <c r="G126" s="478"/>
      <c r="H126" s="478"/>
      <c r="I126" s="478"/>
      <c r="J126" s="478"/>
      <c r="K126" s="478"/>
      <c r="L126" s="478"/>
      <c r="M126" s="478"/>
      <c r="N126" s="478"/>
      <c r="O126" s="478"/>
      <c r="P126" s="478"/>
      <c r="Q126" s="478"/>
      <c r="R126" s="478"/>
      <c r="S126" s="478"/>
      <c r="T126" s="478"/>
      <c r="U126" s="478"/>
      <c r="V126" s="478"/>
      <c r="W126" s="478"/>
      <c r="X126" s="478"/>
      <c r="Y126" s="478"/>
      <c r="Z126" s="774"/>
      <c r="AA126" s="774"/>
      <c r="AB126" s="478"/>
      <c r="AC126" s="478"/>
      <c r="AD126" s="478"/>
      <c r="AE126" s="774"/>
      <c r="AF126" s="774"/>
    </row>
    <row r="127" spans="3:32" hidden="1" outlineLevel="1">
      <c r="C127" s="478"/>
      <c r="D127" s="478"/>
      <c r="E127" s="478"/>
      <c r="F127" s="478"/>
      <c r="G127" s="478"/>
      <c r="H127" s="478"/>
      <c r="I127" s="478"/>
      <c r="J127" s="478"/>
      <c r="K127" s="478"/>
      <c r="L127" s="478"/>
      <c r="M127" s="478"/>
      <c r="N127" s="478"/>
      <c r="O127" s="478"/>
      <c r="P127" s="478"/>
      <c r="Q127" s="478"/>
      <c r="R127" s="478"/>
      <c r="S127" s="478"/>
      <c r="T127" s="478"/>
      <c r="U127" s="478"/>
      <c r="V127" s="478"/>
      <c r="W127" s="478"/>
      <c r="X127" s="478"/>
      <c r="Y127" s="478"/>
      <c r="Z127" s="774"/>
      <c r="AA127" s="774"/>
      <c r="AB127" s="478"/>
      <c r="AC127" s="478"/>
      <c r="AD127" s="478"/>
      <c r="AE127" s="774"/>
      <c r="AF127" s="774"/>
    </row>
    <row r="128" spans="3:32" hidden="1" outlineLevel="1">
      <c r="C128" s="478"/>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8"/>
      <c r="Z128" s="774"/>
      <c r="AA128" s="774"/>
      <c r="AB128" s="478"/>
      <c r="AC128" s="478"/>
      <c r="AD128" s="478"/>
      <c r="AE128" s="774"/>
      <c r="AF128" s="774"/>
    </row>
    <row r="129" spans="3:32" hidden="1" outlineLevel="1">
      <c r="C129" s="478"/>
      <c r="D129" s="478"/>
      <c r="E129" s="478"/>
      <c r="F129" s="478"/>
      <c r="G129" s="478"/>
      <c r="H129" s="478"/>
      <c r="I129" s="478"/>
      <c r="J129" s="478"/>
      <c r="K129" s="478"/>
      <c r="L129" s="478"/>
      <c r="M129" s="478"/>
      <c r="N129" s="478"/>
      <c r="O129" s="478"/>
      <c r="P129" s="478"/>
      <c r="Q129" s="478"/>
      <c r="R129" s="478"/>
      <c r="S129" s="478"/>
      <c r="T129" s="478"/>
      <c r="U129" s="478"/>
      <c r="V129" s="478"/>
      <c r="W129" s="478"/>
      <c r="X129" s="478"/>
      <c r="Y129" s="478"/>
      <c r="Z129" s="774"/>
      <c r="AA129" s="774"/>
      <c r="AB129" s="478"/>
      <c r="AC129" s="478"/>
      <c r="AD129" s="478"/>
      <c r="AE129" s="774"/>
      <c r="AF129" s="774"/>
    </row>
    <row r="130" spans="3:32" hidden="1" outlineLevel="1">
      <c r="C130" s="478"/>
      <c r="D130" s="478"/>
      <c r="E130" s="478"/>
      <c r="F130" s="478"/>
      <c r="G130" s="478"/>
      <c r="H130" s="478"/>
      <c r="I130" s="478"/>
      <c r="J130" s="478"/>
      <c r="K130" s="478"/>
      <c r="L130" s="478"/>
      <c r="M130" s="478"/>
      <c r="N130" s="478"/>
      <c r="O130" s="478"/>
      <c r="P130" s="478"/>
      <c r="Q130" s="478"/>
      <c r="R130" s="478"/>
      <c r="S130" s="478"/>
      <c r="T130" s="478"/>
      <c r="U130" s="478"/>
      <c r="V130" s="478"/>
      <c r="W130" s="478"/>
      <c r="X130" s="478"/>
      <c r="Y130" s="478"/>
      <c r="Z130" s="774"/>
      <c r="AA130" s="774"/>
      <c r="AB130" s="478"/>
      <c r="AC130" s="478"/>
      <c r="AD130" s="478"/>
      <c r="AE130" s="774"/>
      <c r="AF130" s="774"/>
    </row>
    <row r="131" spans="3:32" hidden="1" outlineLevel="1">
      <c r="C131" s="478"/>
      <c r="D131" s="478"/>
      <c r="E131" s="478"/>
      <c r="F131" s="478"/>
      <c r="G131" s="478"/>
      <c r="H131" s="478"/>
      <c r="I131" s="478"/>
      <c r="J131" s="478"/>
      <c r="K131" s="478"/>
      <c r="L131" s="478"/>
      <c r="M131" s="478"/>
      <c r="N131" s="478"/>
      <c r="O131" s="478"/>
      <c r="P131" s="478"/>
      <c r="Q131" s="478"/>
      <c r="R131" s="478"/>
      <c r="S131" s="478"/>
      <c r="T131" s="478"/>
      <c r="U131" s="478"/>
      <c r="V131" s="478"/>
      <c r="W131" s="478"/>
      <c r="X131" s="478"/>
      <c r="Y131" s="478"/>
      <c r="Z131" s="774"/>
      <c r="AA131" s="774"/>
      <c r="AB131" s="478"/>
      <c r="AC131" s="478"/>
      <c r="AD131" s="478"/>
      <c r="AE131" s="774"/>
      <c r="AF131" s="774"/>
    </row>
    <row r="132" spans="3:32" hidden="1" outlineLevel="1">
      <c r="C132" s="478"/>
      <c r="D132" s="478"/>
      <c r="E132" s="478"/>
      <c r="F132" s="478"/>
      <c r="G132" s="478"/>
      <c r="H132" s="478"/>
      <c r="I132" s="478"/>
      <c r="J132" s="478"/>
      <c r="K132" s="478"/>
      <c r="L132" s="478"/>
      <c r="M132" s="478"/>
      <c r="N132" s="478"/>
      <c r="O132" s="478"/>
      <c r="P132" s="478"/>
      <c r="Q132" s="478"/>
      <c r="R132" s="478"/>
      <c r="S132" s="478"/>
      <c r="T132" s="478"/>
      <c r="U132" s="478"/>
      <c r="V132" s="478"/>
      <c r="W132" s="478"/>
      <c r="X132" s="478"/>
      <c r="Y132" s="478"/>
      <c r="Z132" s="478"/>
      <c r="AA132" s="478"/>
      <c r="AB132" s="478"/>
      <c r="AC132" s="478"/>
      <c r="AD132" s="478"/>
      <c r="AE132" s="478"/>
      <c r="AF132" s="478"/>
    </row>
    <row r="133" spans="3:32" hidden="1" outlineLevel="1">
      <c r="C133" s="478"/>
      <c r="D133" s="478"/>
      <c r="E133" s="478"/>
      <c r="F133" s="478"/>
      <c r="G133" s="478"/>
      <c r="H133" s="478"/>
      <c r="I133" s="478"/>
      <c r="J133" s="478"/>
      <c r="K133" s="478"/>
      <c r="L133" s="478"/>
      <c r="M133" s="478"/>
      <c r="N133" s="478"/>
      <c r="O133" s="478"/>
      <c r="P133" s="478"/>
      <c r="Q133" s="478"/>
      <c r="R133" s="478"/>
      <c r="S133" s="478"/>
      <c r="T133" s="478"/>
      <c r="U133" s="478"/>
      <c r="V133" s="478"/>
      <c r="W133" s="478"/>
      <c r="X133" s="478"/>
      <c r="Y133" s="478"/>
      <c r="Z133" s="774"/>
      <c r="AA133" s="774"/>
      <c r="AB133" s="478"/>
      <c r="AC133" s="478"/>
      <c r="AD133" s="478"/>
      <c r="AE133" s="774"/>
      <c r="AF133" s="774"/>
    </row>
    <row r="134" spans="3:32" hidden="1" outlineLevel="1">
      <c r="C134" s="478"/>
      <c r="D134" s="478"/>
      <c r="E134" s="478"/>
      <c r="F134" s="478"/>
      <c r="G134" s="478"/>
      <c r="H134" s="478"/>
      <c r="I134" s="478"/>
      <c r="J134" s="478"/>
      <c r="K134" s="478"/>
      <c r="L134" s="478"/>
      <c r="M134" s="478"/>
      <c r="N134" s="478"/>
      <c r="O134" s="478"/>
      <c r="P134" s="478"/>
      <c r="Q134" s="478"/>
      <c r="R134" s="478"/>
      <c r="S134" s="478"/>
      <c r="T134" s="478"/>
      <c r="U134" s="478"/>
      <c r="V134" s="478"/>
      <c r="W134" s="478"/>
      <c r="X134" s="478"/>
      <c r="Y134" s="478"/>
      <c r="Z134" s="774"/>
      <c r="AA134" s="774"/>
      <c r="AB134" s="478"/>
      <c r="AC134" s="478"/>
      <c r="AD134" s="478"/>
      <c r="AE134" s="774"/>
      <c r="AF134" s="774"/>
    </row>
    <row r="135" spans="3:32" hidden="1" outlineLevel="1">
      <c r="C135" s="478"/>
      <c r="D135" s="478"/>
      <c r="E135" s="478"/>
      <c r="F135" s="478"/>
      <c r="G135" s="478"/>
      <c r="H135" s="478"/>
      <c r="I135" s="478"/>
      <c r="J135" s="478"/>
      <c r="K135" s="478"/>
      <c r="L135" s="478"/>
      <c r="M135" s="478"/>
      <c r="N135" s="478"/>
      <c r="O135" s="478"/>
      <c r="P135" s="478"/>
      <c r="Q135" s="478"/>
      <c r="R135" s="478"/>
      <c r="S135" s="478"/>
      <c r="T135" s="478"/>
      <c r="U135" s="478"/>
      <c r="V135" s="478"/>
      <c r="W135" s="478"/>
      <c r="X135" s="478"/>
      <c r="Y135" s="478"/>
      <c r="Z135" s="774"/>
      <c r="AA135" s="774"/>
      <c r="AB135" s="478"/>
      <c r="AC135" s="478"/>
      <c r="AD135" s="478"/>
      <c r="AE135" s="774"/>
      <c r="AF135" s="774"/>
    </row>
    <row r="136" spans="3:32" hidden="1" outlineLevel="1">
      <c r="C136" s="478"/>
      <c r="D136" s="478"/>
      <c r="E136" s="478"/>
      <c r="F136" s="478"/>
      <c r="G136" s="478"/>
      <c r="H136" s="478"/>
      <c r="I136" s="478"/>
      <c r="J136" s="478"/>
      <c r="K136" s="478"/>
      <c r="L136" s="478"/>
      <c r="M136" s="478"/>
      <c r="N136" s="478"/>
      <c r="O136" s="478"/>
      <c r="P136" s="478"/>
      <c r="Q136" s="478"/>
      <c r="R136" s="478"/>
      <c r="S136" s="478"/>
      <c r="T136" s="478"/>
      <c r="U136" s="478"/>
      <c r="V136" s="478"/>
      <c r="W136" s="478"/>
      <c r="X136" s="478"/>
      <c r="Y136" s="478"/>
      <c r="Z136" s="478"/>
      <c r="AA136" s="478"/>
      <c r="AB136" s="478"/>
      <c r="AC136" s="478"/>
      <c r="AD136" s="478"/>
      <c r="AE136" s="478"/>
      <c r="AF136" s="478"/>
    </row>
    <row r="137" spans="3:32" hidden="1" outlineLevel="1">
      <c r="C137" s="478"/>
      <c r="D137" s="478"/>
      <c r="E137" s="478"/>
      <c r="F137" s="478"/>
      <c r="G137" s="478"/>
      <c r="H137" s="478"/>
      <c r="I137" s="478"/>
      <c r="J137" s="478"/>
      <c r="K137" s="478"/>
      <c r="L137" s="478"/>
      <c r="M137" s="478"/>
      <c r="N137" s="478"/>
      <c r="O137" s="478"/>
      <c r="P137" s="478"/>
      <c r="Q137" s="478"/>
      <c r="R137" s="478"/>
      <c r="S137" s="478"/>
      <c r="T137" s="478"/>
      <c r="U137" s="478"/>
      <c r="V137" s="478"/>
      <c r="W137" s="478"/>
      <c r="X137" s="478"/>
      <c r="Y137" s="478"/>
      <c r="Z137" s="774"/>
      <c r="AA137" s="774"/>
      <c r="AB137" s="478"/>
      <c r="AC137" s="478"/>
      <c r="AD137" s="478"/>
      <c r="AE137" s="774"/>
      <c r="AF137" s="774"/>
    </row>
    <row r="138" spans="3:32" hidden="1" outlineLevel="1">
      <c r="C138" s="478"/>
      <c r="D138" s="478"/>
      <c r="E138" s="478"/>
      <c r="F138" s="478"/>
      <c r="G138" s="478"/>
      <c r="H138" s="478"/>
      <c r="I138" s="478"/>
      <c r="J138" s="478"/>
      <c r="K138" s="478"/>
      <c r="L138" s="478"/>
      <c r="M138" s="478"/>
      <c r="N138" s="478"/>
      <c r="O138" s="478"/>
      <c r="P138" s="478"/>
      <c r="Q138" s="478"/>
      <c r="R138" s="478"/>
      <c r="S138" s="478"/>
      <c r="T138" s="478"/>
      <c r="U138" s="478"/>
      <c r="V138" s="478"/>
      <c r="W138" s="478"/>
      <c r="X138" s="478"/>
      <c r="Y138" s="478"/>
      <c r="Z138" s="774"/>
      <c r="AA138" s="774"/>
      <c r="AB138" s="478"/>
      <c r="AC138" s="478"/>
      <c r="AD138" s="478"/>
      <c r="AE138" s="774"/>
      <c r="AF138" s="774"/>
    </row>
    <row r="139" spans="3:32" hidden="1" outlineLevel="1">
      <c r="C139" s="478"/>
      <c r="D139" s="478"/>
      <c r="E139" s="478"/>
      <c r="F139" s="478"/>
      <c r="G139" s="478"/>
      <c r="H139" s="478"/>
      <c r="I139" s="478"/>
      <c r="J139" s="478"/>
      <c r="K139" s="478"/>
      <c r="L139" s="478"/>
      <c r="M139" s="478"/>
      <c r="N139" s="478"/>
      <c r="O139" s="478"/>
      <c r="P139" s="478"/>
      <c r="Q139" s="478"/>
      <c r="R139" s="478"/>
      <c r="S139" s="478"/>
      <c r="T139" s="478"/>
      <c r="U139" s="478"/>
      <c r="V139" s="478"/>
      <c r="W139" s="478"/>
      <c r="X139" s="478"/>
      <c r="Y139" s="478"/>
      <c r="Z139" s="774"/>
      <c r="AA139" s="774"/>
      <c r="AB139" s="478"/>
      <c r="AC139" s="478"/>
      <c r="AD139" s="478"/>
      <c r="AE139" s="774"/>
      <c r="AF139" s="774"/>
    </row>
    <row r="140" spans="3:32" hidden="1" outlineLevel="1">
      <c r="C140" s="478"/>
      <c r="D140" s="478"/>
      <c r="E140" s="478"/>
      <c r="F140" s="478"/>
      <c r="G140" s="478"/>
      <c r="H140" s="478"/>
      <c r="I140" s="478"/>
      <c r="J140" s="478"/>
      <c r="K140" s="478"/>
      <c r="L140" s="478"/>
      <c r="M140" s="478"/>
      <c r="N140" s="478"/>
      <c r="O140" s="478"/>
      <c r="P140" s="478"/>
      <c r="Q140" s="478"/>
      <c r="R140" s="478"/>
      <c r="S140" s="478"/>
      <c r="T140" s="478"/>
      <c r="U140" s="478"/>
      <c r="V140" s="478"/>
      <c r="W140" s="478"/>
      <c r="X140" s="478"/>
      <c r="Y140" s="478"/>
      <c r="Z140" s="478"/>
      <c r="AA140" s="478"/>
      <c r="AB140" s="478"/>
      <c r="AC140" s="478"/>
      <c r="AD140" s="478"/>
      <c r="AE140" s="478"/>
      <c r="AF140" s="478"/>
    </row>
    <row r="141" spans="3:32" hidden="1" outlineLevel="1">
      <c r="C141" s="478"/>
      <c r="D141" s="478"/>
      <c r="E141" s="478"/>
      <c r="F141" s="478"/>
      <c r="G141" s="478"/>
      <c r="H141" s="478"/>
      <c r="I141" s="478"/>
      <c r="J141" s="478"/>
      <c r="K141" s="478"/>
      <c r="L141" s="478"/>
      <c r="M141" s="478"/>
      <c r="N141" s="478"/>
      <c r="O141" s="478"/>
      <c r="P141" s="478"/>
      <c r="Q141" s="478"/>
      <c r="R141" s="478"/>
      <c r="S141" s="478"/>
      <c r="T141" s="478"/>
      <c r="U141" s="478"/>
      <c r="V141" s="478"/>
      <c r="W141" s="478"/>
      <c r="X141" s="478"/>
      <c r="Y141" s="478"/>
      <c r="Z141" s="478"/>
      <c r="AA141" s="478"/>
      <c r="AB141" s="478"/>
      <c r="AC141" s="478"/>
      <c r="AD141" s="478"/>
      <c r="AE141" s="478"/>
      <c r="AF141" s="478"/>
    </row>
    <row r="142" spans="3:32" hidden="1" outlineLevel="1">
      <c r="C142" s="478"/>
      <c r="D142" s="478"/>
      <c r="E142" s="478"/>
      <c r="F142" s="478"/>
      <c r="G142" s="478"/>
      <c r="H142" s="478"/>
      <c r="I142" s="478"/>
      <c r="J142" s="478"/>
      <c r="K142" s="478"/>
      <c r="L142" s="478"/>
      <c r="M142" s="478"/>
      <c r="N142" s="478"/>
      <c r="O142" s="478"/>
      <c r="P142" s="478"/>
      <c r="Q142" s="478"/>
      <c r="R142" s="478"/>
      <c r="S142" s="478"/>
      <c r="T142" s="478"/>
      <c r="U142" s="478"/>
      <c r="V142" s="478"/>
      <c r="W142" s="478"/>
      <c r="X142" s="478"/>
      <c r="Y142" s="478"/>
      <c r="Z142" s="774"/>
      <c r="AA142" s="774"/>
      <c r="AB142" s="478"/>
      <c r="AC142" s="478"/>
      <c r="AD142" s="478"/>
      <c r="AE142" s="774"/>
      <c r="AF142" s="774"/>
    </row>
    <row r="143" spans="3:32" hidden="1" outlineLevel="1">
      <c r="C143" s="478"/>
      <c r="D143" s="478"/>
      <c r="E143" s="478"/>
      <c r="F143" s="478"/>
      <c r="G143" s="478"/>
      <c r="H143" s="478"/>
      <c r="I143" s="478"/>
      <c r="J143" s="478"/>
      <c r="K143" s="478"/>
      <c r="L143" s="478"/>
      <c r="M143" s="478"/>
      <c r="N143" s="478"/>
      <c r="O143" s="478"/>
      <c r="P143" s="478"/>
      <c r="Q143" s="478"/>
      <c r="R143" s="478"/>
      <c r="S143" s="478"/>
      <c r="T143" s="478"/>
      <c r="U143" s="478"/>
      <c r="V143" s="478"/>
      <c r="W143" s="478"/>
      <c r="X143" s="478"/>
      <c r="Y143" s="478"/>
      <c r="Z143" s="774"/>
      <c r="AA143" s="774"/>
      <c r="AB143" s="478"/>
      <c r="AC143" s="478"/>
      <c r="AD143" s="478"/>
      <c r="AE143" s="774"/>
      <c r="AF143" s="774"/>
    </row>
    <row r="144" spans="3:32" hidden="1" outlineLevel="1">
      <c r="C144" s="478"/>
      <c r="D144" s="478"/>
      <c r="E144" s="478"/>
      <c r="F144" s="478"/>
      <c r="G144" s="478"/>
      <c r="H144" s="478"/>
      <c r="I144" s="478"/>
      <c r="J144" s="478"/>
      <c r="K144" s="478"/>
      <c r="L144" s="478"/>
      <c r="M144" s="478"/>
      <c r="N144" s="478"/>
      <c r="O144" s="478"/>
      <c r="P144" s="478"/>
      <c r="Q144" s="478"/>
      <c r="R144" s="478"/>
      <c r="S144" s="478"/>
      <c r="T144" s="478"/>
      <c r="U144" s="478"/>
      <c r="V144" s="478"/>
      <c r="W144" s="478"/>
      <c r="X144" s="478"/>
      <c r="Y144" s="478"/>
      <c r="Z144" s="774"/>
      <c r="AA144" s="774"/>
      <c r="AB144" s="478"/>
      <c r="AC144" s="478"/>
      <c r="AD144" s="478"/>
      <c r="AE144" s="774"/>
      <c r="AF144" s="774"/>
    </row>
    <row r="145" spans="3:32" hidden="1" outlineLevel="1">
      <c r="C145" s="478"/>
      <c r="D145" s="478"/>
      <c r="E145" s="478"/>
      <c r="F145" s="478"/>
      <c r="G145" s="478"/>
      <c r="H145" s="478"/>
      <c r="I145" s="478"/>
      <c r="J145" s="478"/>
      <c r="K145" s="478"/>
      <c r="L145" s="478"/>
      <c r="M145" s="478"/>
      <c r="N145" s="478"/>
      <c r="O145" s="478"/>
      <c r="P145" s="478"/>
      <c r="Q145" s="478"/>
      <c r="R145" s="478"/>
      <c r="S145" s="478"/>
      <c r="T145" s="478"/>
      <c r="U145" s="478"/>
      <c r="V145" s="478"/>
      <c r="W145" s="478"/>
      <c r="X145" s="478"/>
      <c r="Y145" s="478"/>
      <c r="Z145" s="774"/>
      <c r="AA145" s="774"/>
      <c r="AB145" s="478"/>
      <c r="AC145" s="478"/>
      <c r="AD145" s="478"/>
      <c r="AE145" s="774"/>
      <c r="AF145" s="774"/>
    </row>
    <row r="146" spans="3:32" hidden="1" outlineLevel="1">
      <c r="C146" s="478"/>
      <c r="D146" s="478"/>
      <c r="E146" s="478"/>
      <c r="F146" s="478"/>
      <c r="G146" s="478"/>
      <c r="H146" s="478"/>
      <c r="I146" s="478"/>
      <c r="J146" s="478"/>
      <c r="K146" s="478"/>
      <c r="L146" s="478"/>
      <c r="M146" s="478"/>
      <c r="N146" s="478"/>
      <c r="O146" s="478"/>
      <c r="P146" s="478"/>
      <c r="Q146" s="478"/>
      <c r="R146" s="478"/>
      <c r="S146" s="478"/>
      <c r="T146" s="478"/>
      <c r="U146" s="478"/>
      <c r="V146" s="478"/>
      <c r="W146" s="478"/>
      <c r="X146" s="478"/>
      <c r="Y146" s="478"/>
      <c r="Z146" s="774"/>
      <c r="AA146" s="774"/>
      <c r="AB146" s="478"/>
      <c r="AC146" s="478"/>
      <c r="AD146" s="478"/>
      <c r="AE146" s="774"/>
      <c r="AF146" s="774"/>
    </row>
    <row r="147" spans="3:32" hidden="1" outlineLevel="1">
      <c r="C147" s="478"/>
      <c r="D147" s="478"/>
      <c r="E147" s="478"/>
      <c r="F147" s="478"/>
      <c r="G147" s="478"/>
      <c r="H147" s="478"/>
      <c r="I147" s="478"/>
      <c r="J147" s="478"/>
      <c r="K147" s="478"/>
      <c r="L147" s="478"/>
      <c r="M147" s="478"/>
      <c r="N147" s="478"/>
      <c r="O147" s="478"/>
      <c r="P147" s="478"/>
      <c r="Q147" s="478"/>
      <c r="R147" s="478"/>
      <c r="S147" s="478"/>
      <c r="T147" s="478"/>
      <c r="U147" s="478"/>
      <c r="V147" s="478"/>
      <c r="W147" s="478"/>
      <c r="X147" s="478"/>
      <c r="Y147" s="478"/>
      <c r="Z147" s="774"/>
      <c r="AA147" s="774"/>
      <c r="AB147" s="478"/>
      <c r="AC147" s="478"/>
      <c r="AD147" s="478"/>
      <c r="AE147" s="774"/>
      <c r="AF147" s="774"/>
    </row>
    <row r="148" spans="3:32" hidden="1" outlineLevel="1">
      <c r="C148" s="478"/>
      <c r="D148" s="478"/>
      <c r="E148" s="478"/>
      <c r="F148" s="478"/>
      <c r="G148" s="478"/>
      <c r="H148" s="478"/>
      <c r="I148" s="478"/>
      <c r="J148" s="478"/>
      <c r="K148" s="478"/>
      <c r="L148" s="478"/>
      <c r="M148" s="478"/>
      <c r="N148" s="478"/>
      <c r="O148" s="478"/>
      <c r="P148" s="478"/>
      <c r="Q148" s="478"/>
      <c r="R148" s="478"/>
      <c r="S148" s="478"/>
      <c r="T148" s="478"/>
      <c r="U148" s="478"/>
      <c r="V148" s="478"/>
      <c r="W148" s="478"/>
      <c r="X148" s="478"/>
      <c r="Y148" s="478"/>
      <c r="Z148" s="774"/>
      <c r="AA148" s="774"/>
      <c r="AB148" s="478"/>
      <c r="AC148" s="478"/>
      <c r="AD148" s="478"/>
      <c r="AE148" s="774"/>
      <c r="AF148" s="774"/>
    </row>
    <row r="149" spans="3:32" hidden="1" outlineLevel="1">
      <c r="C149" s="478"/>
      <c r="D149" s="478"/>
      <c r="E149" s="478"/>
      <c r="F149" s="478"/>
      <c r="G149" s="478"/>
      <c r="H149" s="478"/>
      <c r="I149" s="478"/>
      <c r="J149" s="478"/>
      <c r="K149" s="478"/>
      <c r="L149" s="478"/>
      <c r="M149" s="478"/>
      <c r="N149" s="478"/>
      <c r="O149" s="478"/>
      <c r="P149" s="478"/>
      <c r="Q149" s="478"/>
      <c r="R149" s="478"/>
      <c r="S149" s="478"/>
      <c r="T149" s="478"/>
      <c r="U149" s="478"/>
      <c r="V149" s="478"/>
      <c r="W149" s="478"/>
      <c r="X149" s="478"/>
      <c r="Y149" s="478"/>
      <c r="Z149" s="774"/>
      <c r="AA149" s="774"/>
      <c r="AB149" s="478"/>
      <c r="AC149" s="478"/>
      <c r="AD149" s="478"/>
      <c r="AE149" s="774"/>
      <c r="AF149" s="774"/>
    </row>
    <row r="150" spans="3:32" collapsed="1"/>
  </sheetData>
  <mergeCells count="10">
    <mergeCell ref="B82:T82"/>
    <mergeCell ref="B81:T81"/>
    <mergeCell ref="B73:Q73"/>
    <mergeCell ref="B74:AC74"/>
    <mergeCell ref="B75:AA75"/>
    <mergeCell ref="B77:AA77"/>
    <mergeCell ref="B78:AA78"/>
    <mergeCell ref="B76:AA76"/>
    <mergeCell ref="B79:AA79"/>
    <mergeCell ref="B80:AA80"/>
  </mergeCells>
  <conditionalFormatting sqref="C91:I96 C97:G149 H138:U138">
    <cfRule type="containsText" dxfId="90" priority="690" stopIfTrue="1" operator="containsText" text="FAŁSZ">
      <formula>NOT(ISERROR(SEARCH("FAŁSZ",C91)))</formula>
    </cfRule>
  </conditionalFormatting>
  <conditionalFormatting sqref="C90:K90">
    <cfRule type="containsText" dxfId="89" priority="648" stopIfTrue="1" operator="containsText" text="FAŁSZ">
      <formula>NOT(ISERROR(SEARCH("FAŁSZ",C90)))</formula>
    </cfRule>
  </conditionalFormatting>
  <conditionalFormatting sqref="G84:G88">
    <cfRule type="cellIs" dxfId="88" priority="4" operator="equal">
      <formula>FALSE</formula>
    </cfRule>
  </conditionalFormatting>
  <conditionalFormatting sqref="H97:N137">
    <cfRule type="containsText" dxfId="87" priority="632" stopIfTrue="1" operator="containsText" text="FAŁSZ">
      <formula>NOT(ISERROR(SEARCH("FAŁSZ",H97)))</formula>
    </cfRule>
  </conditionalFormatting>
  <conditionalFormatting sqref="H139:Q149">
    <cfRule type="containsText" dxfId="86" priority="581" stopIfTrue="1" operator="containsText" text="FAŁSZ">
      <formula>NOT(ISERROR(SEARCH("FAŁSZ",H139)))</formula>
    </cfRule>
  </conditionalFormatting>
  <conditionalFormatting sqref="J92:J96">
    <cfRule type="containsText" dxfId="85" priority="649" stopIfTrue="1" operator="containsText" text="FAŁSZ">
      <formula>NOT(ISERROR(SEARCH("FAŁSZ",J92)))</formula>
    </cfRule>
  </conditionalFormatting>
  <conditionalFormatting sqref="J91:K91">
    <cfRule type="containsText" dxfId="84" priority="689" stopIfTrue="1" operator="containsText" text="FAŁSZ">
      <formula>NOT(ISERROR(SEARCH("FAŁSZ",J91)))</formula>
    </cfRule>
  </conditionalFormatting>
  <conditionalFormatting sqref="K92:K95">
    <cfRule type="containsText" dxfId="83" priority="646" stopIfTrue="1" operator="containsText" text="FAŁSZ">
      <formula>NOT(ISERROR(SEARCH("FAŁSZ",K92)))</formula>
    </cfRule>
  </conditionalFormatting>
  <conditionalFormatting sqref="L84:L88">
    <cfRule type="cellIs" dxfId="82" priority="6" operator="equal">
      <formula>FALSE</formula>
    </cfRule>
  </conditionalFormatting>
  <conditionalFormatting sqref="L90:L95 K96:L96">
    <cfRule type="containsText" dxfId="81" priority="688" stopIfTrue="1" operator="containsText" text="FAŁSZ">
      <formula>NOT(ISERROR(SEARCH("FAŁSZ",K90)))</formula>
    </cfRule>
  </conditionalFormatting>
  <conditionalFormatting sqref="M90:N96">
    <cfRule type="containsText" dxfId="80" priority="687" stopIfTrue="1" operator="containsText" text="FAŁSZ">
      <formula>NOT(ISERROR(SEARCH("FAŁSZ",M90)))</formula>
    </cfRule>
  </conditionalFormatting>
  <conditionalFormatting sqref="O90:R137">
    <cfRule type="containsText" dxfId="79" priority="568" stopIfTrue="1" operator="containsText" text="FAŁSZ">
      <formula>NOT(ISERROR(SEARCH("FAŁSZ",O90)))</formula>
    </cfRule>
  </conditionalFormatting>
  <conditionalFormatting sqref="Q84:Q88">
    <cfRule type="cellIs" dxfId="78" priority="5" operator="equal">
      <formula>FALSE</formula>
    </cfRule>
  </conditionalFormatting>
  <conditionalFormatting sqref="R140:S149">
    <cfRule type="containsText" dxfId="77" priority="549" stopIfTrue="1" operator="containsText" text="FAŁSZ">
      <formula>NOT(ISERROR(SEARCH("FAŁSZ",R140)))</formula>
    </cfRule>
  </conditionalFormatting>
  <conditionalFormatting sqref="R139:U139">
    <cfRule type="containsText" dxfId="76" priority="509" stopIfTrue="1" operator="containsText" text="FAŁSZ">
      <formula>NOT(ISERROR(SEARCH("FAŁSZ",R139)))</formula>
    </cfRule>
  </conditionalFormatting>
  <conditionalFormatting sqref="S90:U93">
    <cfRule type="containsText" dxfId="75" priority="645" stopIfTrue="1" operator="containsText" text="FAŁSZ">
      <formula>NOT(ISERROR(SEARCH("FAŁSZ",S90)))</formula>
    </cfRule>
  </conditionalFormatting>
  <conditionalFormatting sqref="S94:V137">
    <cfRule type="containsText" dxfId="74" priority="521" stopIfTrue="1" operator="containsText" text="FAŁSZ">
      <formula>NOT(ISERROR(SEARCH("FAŁSZ",S94)))</formula>
    </cfRule>
  </conditionalFormatting>
  <conditionalFormatting sqref="T140:U141">
    <cfRule type="containsText" dxfId="73" priority="535" stopIfTrue="1" operator="containsText" text="FAŁSZ">
      <formula>NOT(ISERROR(SEARCH("FAŁSZ",T140)))</formula>
    </cfRule>
  </conditionalFormatting>
  <conditionalFormatting sqref="T142:V149">
    <cfRule type="containsText" dxfId="72" priority="519" stopIfTrue="1" operator="containsText" text="FAŁSZ">
      <formula>NOT(ISERROR(SEARCH("FAŁSZ",T142)))</formula>
    </cfRule>
  </conditionalFormatting>
  <conditionalFormatting sqref="V84:V88">
    <cfRule type="cellIs" dxfId="71" priority="3" operator="equal">
      <formula>FALSE</formula>
    </cfRule>
  </conditionalFormatting>
  <conditionalFormatting sqref="V93">
    <cfRule type="containsText" dxfId="70" priority="527" stopIfTrue="1" operator="containsText" text="FAŁSZ">
      <formula>NOT(ISERROR(SEARCH("FAŁSZ",V93)))</formula>
    </cfRule>
  </conditionalFormatting>
  <conditionalFormatting sqref="V138:V141">
    <cfRule type="containsText" dxfId="69" priority="512" stopIfTrue="1" operator="containsText" text="FAŁSZ">
      <formula>NOT(ISERROR(SEARCH("FAŁSZ",V138)))</formula>
    </cfRule>
  </conditionalFormatting>
  <conditionalFormatting sqref="V90:Y92">
    <cfRule type="containsText" dxfId="68" priority="420" stopIfTrue="1" operator="containsText" text="FAŁSZ">
      <formula>NOT(ISERROR(SEARCH("FAŁSZ",V90)))</formula>
    </cfRule>
  </conditionalFormatting>
  <conditionalFormatting sqref="W90:AF149">
    <cfRule type="containsText" dxfId="67" priority="7" stopIfTrue="1" operator="containsText" text="FAŁSZ">
      <formula>NOT(ISERROR(SEARCH("FAŁSZ",W90)))</formula>
    </cfRule>
  </conditionalFormatting>
  <conditionalFormatting sqref="AA84:AA88">
    <cfRule type="cellIs" dxfId="66" priority="2" operator="equal">
      <formula>FALSE</formula>
    </cfRule>
  </conditionalFormatting>
  <conditionalFormatting sqref="AF84:AF88">
    <cfRule type="cellIs" dxfId="65" priority="1" operator="equal">
      <formula>FALSE</formula>
    </cfRule>
  </conditionalFormatting>
  <conditionalFormatting sqref="AG3:AG85 B85:F85 H85:K85 M85:P85 R85:U85 W85:Z85 AB85:AE85">
    <cfRule type="cellIs" dxfId="64" priority="240" operator="equal">
      <formula>FALSE</formula>
    </cfRule>
  </conditionalFormatting>
  <conditionalFormatting sqref="AH6:AH70">
    <cfRule type="cellIs" dxfId="63" priority="239" operator="equal">
      <formula>FALSE</formula>
    </cfRule>
  </conditionalFormatting>
  <printOptions horizontalCentered="1"/>
  <pageMargins left="0.70866141732283472" right="0.70866141732283472" top="0.74803149606299213" bottom="0.74803149606299213" header="0.31496062992125984" footer="0.31496062992125984"/>
  <pageSetup paperSize="9" scale="37" orientation="landscape" r:id="rId1"/>
  <rowBreaks count="1" manualBreakCount="1">
    <brk id="57" min="1" max="31" man="1"/>
  </rowBreaks>
  <colBreaks count="1" manualBreakCount="1">
    <brk id="25" min="1" max="82"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34998626667073579"/>
    <pageSetUpPr fitToPage="1"/>
  </sheetPr>
  <dimension ref="B1:BR61"/>
  <sheetViews>
    <sheetView showGridLines="0" view="pageBreakPreview" zoomScaleNormal="9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1.25" outlineLevelRow="1" outlineLevelCol="1"/>
  <cols>
    <col min="1" max="1" width="1.28515625" style="371" customWidth="1"/>
    <col min="2" max="2" width="25.28515625" style="371" customWidth="1"/>
    <col min="3" max="6" width="8.42578125" style="371" hidden="1" customWidth="1" outlineLevel="1"/>
    <col min="7" max="7" width="8.42578125" style="371" customWidth="1" collapsed="1"/>
    <col min="8" max="8" width="8.42578125" style="371" hidden="1" customWidth="1" outlineLevel="1"/>
    <col min="9" max="9" width="10.28515625" style="371" hidden="1" customWidth="1" outlineLevel="1"/>
    <col min="10" max="10" width="8.42578125" style="371" hidden="1" customWidth="1" outlineLevel="1"/>
    <col min="11" max="11" width="10" style="371" hidden="1" customWidth="1" outlineLevel="1"/>
    <col min="12" max="12" width="8.42578125" style="371" hidden="1" customWidth="1" outlineLevel="1"/>
    <col min="13" max="13" width="10.28515625" style="371" hidden="1" customWidth="1" outlineLevel="1"/>
    <col min="14" max="14" width="8.42578125" style="371" hidden="1" customWidth="1" outlineLevel="1"/>
    <col min="15" max="15" width="10.28515625" style="371" hidden="1" customWidth="1" outlineLevel="1"/>
    <col min="16" max="16" width="10.28515625" style="371" customWidth="1" collapsed="1"/>
    <col min="17" max="17" width="8.42578125" style="371" hidden="1" customWidth="1" outlineLevel="1"/>
    <col min="18" max="18" width="10.28515625" style="371" hidden="1" customWidth="1" outlineLevel="1"/>
    <col min="19" max="19" width="8.42578125" style="371" hidden="1" customWidth="1" outlineLevel="1"/>
    <col min="20" max="20" width="10" style="371" hidden="1" customWidth="1" outlineLevel="1"/>
    <col min="21" max="21" width="8.42578125" style="371" hidden="1" customWidth="1" outlineLevel="1"/>
    <col min="22" max="22" width="9.7109375" style="371" hidden="1" customWidth="1" outlineLevel="1"/>
    <col min="23" max="23" width="8.42578125" style="371" hidden="1" customWidth="1" outlineLevel="1"/>
    <col min="24" max="24" width="10.28515625" style="371" hidden="1" customWidth="1" outlineLevel="1"/>
    <col min="25" max="25" width="8.42578125" style="371" customWidth="1" collapsed="1"/>
    <col min="26" max="26" width="10" style="371" customWidth="1"/>
    <col min="27" max="27" width="8.42578125" style="371" hidden="1" customWidth="1" outlineLevel="1"/>
    <col min="28" max="28" width="9.7109375" style="371" hidden="1" customWidth="1" outlineLevel="1"/>
    <col min="29" max="29" width="8.42578125" style="371" hidden="1" customWidth="1" outlineLevel="1"/>
    <col min="30" max="30" width="10" style="371" hidden="1" customWidth="1" outlineLevel="1"/>
    <col min="31" max="31" width="8.42578125" style="371" hidden="1" customWidth="1" outlineLevel="1"/>
    <col min="32" max="32" width="10.28515625" style="371" hidden="1" customWidth="1" outlineLevel="1"/>
    <col min="33" max="33" width="8.42578125" style="371" hidden="1" customWidth="1" outlineLevel="1"/>
    <col min="34" max="34" width="10.28515625" style="371" hidden="1" customWidth="1" outlineLevel="1"/>
    <col min="35" max="35" width="8.42578125" style="371" customWidth="1" collapsed="1"/>
    <col min="36" max="36" width="10.28515625" style="371" customWidth="1"/>
    <col min="37" max="37" width="8.42578125" style="371" hidden="1" customWidth="1" outlineLevel="1"/>
    <col min="38" max="38" width="10.28515625" style="371" hidden="1" customWidth="1" outlineLevel="1"/>
    <col min="39" max="39" width="8.42578125" style="371" hidden="1" customWidth="1" outlineLevel="1"/>
    <col min="40" max="40" width="10" style="371" hidden="1" customWidth="1" outlineLevel="1"/>
    <col min="41" max="41" width="8.42578125" style="371" hidden="1" customWidth="1" outlineLevel="1"/>
    <col min="42" max="42" width="10" style="371" hidden="1" customWidth="1" outlineLevel="1"/>
    <col min="43" max="43" width="8.42578125" style="371" hidden="1" customWidth="1" outlineLevel="1"/>
    <col min="44" max="44" width="10.28515625" style="371" hidden="1" customWidth="1" outlineLevel="1"/>
    <col min="45" max="45" width="8.42578125" style="371" customWidth="1" collapsed="1"/>
    <col min="46" max="46" width="10.28515625" style="371" customWidth="1"/>
    <col min="47" max="47" width="8.42578125" style="371" hidden="1" customWidth="1" outlineLevel="1"/>
    <col min="48" max="48" width="10" style="371" hidden="1" customWidth="1" outlineLevel="1"/>
    <col min="49" max="49" width="8.42578125" style="371" hidden="1" customWidth="1" outlineLevel="1"/>
    <col min="50" max="50" width="10" style="371" hidden="1" customWidth="1" outlineLevel="1"/>
    <col min="51" max="51" width="8.42578125" style="371" hidden="1" customWidth="1" outlineLevel="1"/>
    <col min="52" max="52" width="10" style="371" hidden="1" customWidth="1" outlineLevel="1"/>
    <col min="53" max="53" width="8.42578125" style="371" hidden="1" customWidth="1" outlineLevel="1"/>
    <col min="54" max="54" width="9.7109375" style="371" hidden="1" customWidth="1" outlineLevel="1"/>
    <col min="55" max="55" width="8.42578125" style="371" customWidth="1" collapsed="1"/>
    <col min="56" max="56" width="10.5703125" style="371" customWidth="1"/>
    <col min="57" max="57" width="8.42578125" style="371" hidden="1" customWidth="1" outlineLevel="1"/>
    <col min="58" max="58" width="10.28515625" style="371" hidden="1" customWidth="1" outlineLevel="1"/>
    <col min="59" max="59" width="8.42578125" style="371" hidden="1" customWidth="1" outlineLevel="1"/>
    <col min="60" max="60" width="10.28515625" style="371" hidden="1" customWidth="1" outlineLevel="1"/>
    <col min="61" max="61" width="8.42578125" style="371" hidden="1" customWidth="1" outlineLevel="1"/>
    <col min="62" max="62" width="10.28515625" style="371" hidden="1" customWidth="1" outlineLevel="1"/>
    <col min="63" max="63" width="8.42578125" style="371" hidden="1" customWidth="1" outlineLevel="1"/>
    <col min="64" max="64" width="10.5703125" style="371" hidden="1" customWidth="1" outlineLevel="1"/>
    <col min="65" max="65" width="8.42578125" style="371" customWidth="1" collapsed="1"/>
    <col min="66" max="66" width="11.28515625" style="371" customWidth="1"/>
    <col min="67" max="67" width="8.42578125" style="371" customWidth="1"/>
    <col min="68" max="68" width="10.28515625" style="371" customWidth="1"/>
    <col min="69" max="16384" width="9.28515625" style="371"/>
  </cols>
  <sheetData>
    <row r="1" spans="2:70" ht="10.15" customHeight="1"/>
    <row r="2" spans="2:70" ht="18.75" customHeight="1">
      <c r="B2" s="396" t="str">
        <f>names!$A1071</f>
        <v>EBITDA LIFO</v>
      </c>
      <c r="BQ2" s="577"/>
    </row>
    <row r="3" spans="2:70" ht="10.15" customHeight="1">
      <c r="AU3" s="378"/>
      <c r="AV3" s="378"/>
      <c r="AW3" s="378"/>
      <c r="AX3" s="378"/>
      <c r="AY3" s="378"/>
      <c r="AZ3" s="378"/>
      <c r="BA3" s="378"/>
      <c r="BB3" s="378"/>
      <c r="BC3" s="378"/>
      <c r="BD3" s="378"/>
      <c r="BE3" s="378"/>
      <c r="BF3" s="378"/>
      <c r="BQ3" s="577"/>
    </row>
    <row r="4" spans="2:70" ht="84.75" customHeight="1">
      <c r="B4" s="372" t="str">
        <f>names!$A1073</f>
        <v>Wyszczególnienie, 
mln PLN</v>
      </c>
      <c r="C4" s="372" t="str">
        <f>names!$A1122</f>
        <v>I kw.
2013</v>
      </c>
      <c r="D4" s="372" t="str">
        <f>names!$A1123</f>
        <v>II kw.
2013</v>
      </c>
      <c r="E4" s="372" t="str">
        <f>names!$A1124</f>
        <v>III kw.
2013</v>
      </c>
      <c r="F4" s="372" t="str">
        <f>names!$A1125</f>
        <v>IV kw.
2013</v>
      </c>
      <c r="G4" s="372" t="str">
        <f>names!$A1126</f>
        <v>12 m-cy
2013</v>
      </c>
      <c r="H4" s="372" t="str">
        <f>names!$A1127</f>
        <v>I kw.
2014</v>
      </c>
      <c r="I4" s="372" t="str">
        <f>names!$A1128</f>
        <v>I kw.
2014
przed odpisem 1)</v>
      </c>
      <c r="J4" s="372" t="str">
        <f>names!$A1129</f>
        <v>II kw.
2014</v>
      </c>
      <c r="K4" s="372" t="str">
        <f>names!$A1130</f>
        <v>II kw.
2014
przed odpisem 1)</v>
      </c>
      <c r="L4" s="372" t="str">
        <f>names!$A1131</f>
        <v>III kw.
2014</v>
      </c>
      <c r="M4" s="372" t="str">
        <f>names!$A1132</f>
        <v>III kw.
2014
przed odpisem 1)</v>
      </c>
      <c r="N4" s="372" t="str">
        <f>names!$A1133</f>
        <v>IV kw.
2014</v>
      </c>
      <c r="O4" s="372" t="str">
        <f>names!$A1134</f>
        <v>IV kw.
2014
przed odpisem 1)</v>
      </c>
      <c r="P4" s="372" t="str">
        <f>names!$A1135</f>
        <v>12 m-cy
2014
przed odpisem 1)</v>
      </c>
      <c r="Q4" s="372" t="str">
        <f>names!$A1136</f>
        <v>I kw.
2015</v>
      </c>
      <c r="R4" s="372" t="str">
        <f>names!$A1137</f>
        <v>I kw.
2015
przed odpisem 1)</v>
      </c>
      <c r="S4" s="372" t="str">
        <f>names!$A1138</f>
        <v>II kw.
2015</v>
      </c>
      <c r="T4" s="372" t="str">
        <f>names!$A1139</f>
        <v>II kw.
2015
przed odpisem 1)</v>
      </c>
      <c r="U4" s="372" t="str">
        <f>names!$A1140</f>
        <v>III kw.
2015</v>
      </c>
      <c r="V4" s="372" t="str">
        <f>names!$A1141</f>
        <v>III kw.
2015
przed odpisem 1)</v>
      </c>
      <c r="W4" s="372" t="str">
        <f>names!$A1142</f>
        <v>IV kw.
2015</v>
      </c>
      <c r="X4" s="372" t="str">
        <f>names!$A1143</f>
        <v>IV kw.
2015
przed odpisem 1)</v>
      </c>
      <c r="Y4" s="372" t="str">
        <f>names!$A1144</f>
        <v>12 m-cy
2015</v>
      </c>
      <c r="Z4" s="372" t="str">
        <f>names!$A1145</f>
        <v>12 m-cy 2015
przed odpisem 1)</v>
      </c>
      <c r="AA4" s="372" t="str">
        <f>names!$A1146</f>
        <v>I kw.
2016</v>
      </c>
      <c r="AB4" s="372" t="str">
        <f>names!$A1147</f>
        <v>I kw.
2016
przed odpisem 1)</v>
      </c>
      <c r="AC4" s="372" t="str">
        <f>names!$A1148</f>
        <v>II kw.
2016</v>
      </c>
      <c r="AD4" s="372" t="str">
        <f>names!$A1149</f>
        <v>II kw.
2016
przed odpisem 1)</v>
      </c>
      <c r="AE4" s="372" t="str">
        <f>names!$A1150</f>
        <v>III kw.
2016</v>
      </c>
      <c r="AF4" s="372" t="str">
        <f>names!$A1151</f>
        <v>III kw.
2016
przed odpisem 1)</v>
      </c>
      <c r="AG4" s="372" t="str">
        <f>names!$A1152</f>
        <v>IV kw.
2016</v>
      </c>
      <c r="AH4" s="372" t="str">
        <f>names!$A1153</f>
        <v>IV kw.
2016
przed odpisem 1)</v>
      </c>
      <c r="AI4" s="372" t="str">
        <f>names!$A1154</f>
        <v>12 m-cy
2016</v>
      </c>
      <c r="AJ4" s="372" t="str">
        <f>names!$A1155</f>
        <v>12 m-cy
2016
przed odpisem 1)</v>
      </c>
      <c r="AK4" s="372" t="str">
        <f>names!$A1156</f>
        <v>I kw.
2017</v>
      </c>
      <c r="AL4" s="372" t="str">
        <f>names!$A1157</f>
        <v>I kw.
2017
przed odpisem 1)</v>
      </c>
      <c r="AM4" s="372" t="str">
        <f>names!$A1158</f>
        <v>II kw.
2017</v>
      </c>
      <c r="AN4" s="372" t="str">
        <f>names!$A1159</f>
        <v>II kw.
2017
przed odpisem 1)</v>
      </c>
      <c r="AO4" s="372" t="str">
        <f>names!$A1160</f>
        <v>III kw.
2017</v>
      </c>
      <c r="AP4" s="372" t="str">
        <f>names!$A1161</f>
        <v>III kw.
2017
przed odpisem 1)</v>
      </c>
      <c r="AQ4" s="372" t="str">
        <f>names!$A1162</f>
        <v>IV kw.
2017</v>
      </c>
      <c r="AR4" s="372" t="str">
        <f>names!$A1163</f>
        <v>IV kw.
2017
przed odpisem 1)</v>
      </c>
      <c r="AS4" s="372" t="str">
        <f>names!$A1164</f>
        <v>12 m-cy
2017</v>
      </c>
      <c r="AT4" s="372" t="str">
        <f>names!$A1165</f>
        <v>12 m-cy
2017
przed odpisem 1)</v>
      </c>
      <c r="AU4" s="372" t="str">
        <f>names!$A1166</f>
        <v>I kw.
2018</v>
      </c>
      <c r="AV4" s="372" t="str">
        <f>names!$A1167</f>
        <v>I kw.
2018
przed odpisem 1)</v>
      </c>
      <c r="AW4" s="372" t="str">
        <f>names!$A1168</f>
        <v>II kw.
2018</v>
      </c>
      <c r="AX4" s="372" t="str">
        <f>names!$A1169</f>
        <v>II kw.
2018
przed odpisem 1)</v>
      </c>
      <c r="AY4" s="372" t="str">
        <f>names!$A1170</f>
        <v>III kw.
2018</v>
      </c>
      <c r="AZ4" s="372" t="str">
        <f>names!$A1171</f>
        <v>III kw.
2018
przed odpisem 1)</v>
      </c>
      <c r="BA4" s="372" t="str">
        <f>names!$A1172</f>
        <v>IV kw.
2018           2)</v>
      </c>
      <c r="BB4" s="372" t="str">
        <f>names!$A1173</f>
        <v>IV kw.
2018
przed odpisem       1),2)</v>
      </c>
      <c r="BC4" s="372" t="str">
        <f>names!$A1174</f>
        <v>12 m-cy
2018                      2)</v>
      </c>
      <c r="BD4" s="372" t="str">
        <f>names!$A1175</f>
        <v>12 m-cy
2018
przed odpisem           1),2)</v>
      </c>
      <c r="BE4" s="372" t="str">
        <f>names!$A1176</f>
        <v>I kw.
2019</v>
      </c>
      <c r="BF4" s="372" t="str">
        <f>names!$A1177</f>
        <v>I kw.
2019
przed odpisem 1)</v>
      </c>
      <c r="BG4" s="372" t="str">
        <f>names!$A1178</f>
        <v>II kw.
2019</v>
      </c>
      <c r="BH4" s="372" t="str">
        <f>names!$A1179</f>
        <v>II kw.
2019
przed odpisem 1)</v>
      </c>
      <c r="BI4" s="372" t="str">
        <f>names!$A1180</f>
        <v>III kw.
2019</v>
      </c>
      <c r="BJ4" s="372" t="str">
        <f>names!$A1181</f>
        <v>III kw.
2019
przed odpisem 1)</v>
      </c>
      <c r="BK4" s="372" t="str">
        <f>names!$A1182</f>
        <v>IV kw.
2019</v>
      </c>
      <c r="BL4" s="372" t="str">
        <f>names!$A1183</f>
        <v>IV kw.
2019
przed odpisem    1)</v>
      </c>
      <c r="BM4" s="372" t="str">
        <f>names!$A1184</f>
        <v>12 m-cy
2019</v>
      </c>
      <c r="BN4" s="372" t="str">
        <f>names!$A1185</f>
        <v>12 m-cy
2019
przed odpisem    1)</v>
      </c>
      <c r="BO4" s="372" t="str">
        <f>names!$A1186</f>
        <v>I kw.
2020</v>
      </c>
      <c r="BP4" s="372" t="str">
        <f>names!$A1187</f>
        <v>I kw.
2020
przed odpisem 1)</v>
      </c>
      <c r="BQ4" s="577"/>
    </row>
    <row r="5" spans="2:70">
      <c r="B5" s="373" t="str">
        <f>names!$A1074</f>
        <v>Rafineria</v>
      </c>
      <c r="C5" s="379">
        <f>276</f>
        <v>276</v>
      </c>
      <c r="D5" s="379">
        <f>88-1</f>
        <v>87</v>
      </c>
      <c r="E5" s="379">
        <f>51-1</f>
        <v>50</v>
      </c>
      <c r="F5" s="379">
        <f>53</f>
        <v>53</v>
      </c>
      <c r="G5" s="379">
        <f>C5+D5+E5+F5</f>
        <v>466</v>
      </c>
      <c r="H5" s="379">
        <f>274</f>
        <v>274</v>
      </c>
      <c r="I5" s="379">
        <f>H5-I47</f>
        <v>286</v>
      </c>
      <c r="J5" s="379">
        <f>-4658-1</f>
        <v>-4659</v>
      </c>
      <c r="K5" s="379">
        <f>J5-K47</f>
        <v>275</v>
      </c>
      <c r="L5" s="379">
        <f>1181</f>
        <v>1181</v>
      </c>
      <c r="M5" s="379">
        <f>L5-M47</f>
        <v>1191</v>
      </c>
      <c r="N5" s="379">
        <f>256-10</f>
        <v>246</v>
      </c>
      <c r="O5" s="379">
        <f>N5-O47</f>
        <v>288</v>
      </c>
      <c r="P5" s="379">
        <f>I5+K5+M5+O5</f>
        <v>2040</v>
      </c>
      <c r="Q5" s="379">
        <f>995+85</f>
        <v>1080</v>
      </c>
      <c r="R5" s="379">
        <f>Q5-R47</f>
        <v>1090</v>
      </c>
      <c r="S5" s="379">
        <f>1590+115</f>
        <v>1705</v>
      </c>
      <c r="T5" s="379">
        <f>S5-T47</f>
        <v>1710</v>
      </c>
      <c r="U5" s="379">
        <f>306+317+111</f>
        <v>734</v>
      </c>
      <c r="V5" s="379">
        <f>U5-V47</f>
        <v>747</v>
      </c>
      <c r="W5" s="379">
        <f>-21+1079+133</f>
        <v>1191</v>
      </c>
      <c r="X5" s="379">
        <f>W5-X47</f>
        <v>1196</v>
      </c>
      <c r="Y5" s="380">
        <f>Q5+S5+U5+W5</f>
        <v>4710</v>
      </c>
      <c r="Z5" s="380">
        <f>Y5-Z47</f>
        <v>4743</v>
      </c>
      <c r="AA5" s="379">
        <f>907+206</f>
        <v>1113</v>
      </c>
      <c r="AB5" s="379">
        <f>911+206</f>
        <v>1117</v>
      </c>
      <c r="AC5" s="379">
        <f>997+188</f>
        <v>1185</v>
      </c>
      <c r="AD5" s="379">
        <f>997+188+1</f>
        <v>1186</v>
      </c>
      <c r="AE5" s="379">
        <f>801+168</f>
        <v>969</v>
      </c>
      <c r="AF5" s="379">
        <f>801+168+3</f>
        <v>972</v>
      </c>
      <c r="AG5" s="379">
        <f>1873+146</f>
        <v>2019</v>
      </c>
      <c r="AH5" s="379">
        <f>1873+146-244-1</f>
        <v>1774</v>
      </c>
      <c r="AI5" s="379">
        <f>4578+708</f>
        <v>5286</v>
      </c>
      <c r="AJ5" s="379">
        <f>4578+708-237</f>
        <v>5049</v>
      </c>
      <c r="AK5" s="379">
        <f>1065+157</f>
        <v>1222</v>
      </c>
      <c r="AL5" s="379">
        <f>1065+157+1</f>
        <v>1223</v>
      </c>
      <c r="AM5" s="379">
        <f>987+219</f>
        <v>1206</v>
      </c>
      <c r="AN5" s="379">
        <f>987+219-2</f>
        <v>1204</v>
      </c>
      <c r="AO5" s="379">
        <f>1442+217</f>
        <v>1659</v>
      </c>
      <c r="AP5" s="379">
        <f>1442+217+3</f>
        <v>1662</v>
      </c>
      <c r="AQ5" s="379">
        <f>953+189</f>
        <v>1142</v>
      </c>
      <c r="AR5" s="379">
        <f>953+189+13</f>
        <v>1155</v>
      </c>
      <c r="AS5" s="379">
        <f>4447+782</f>
        <v>5229</v>
      </c>
      <c r="AT5" s="379">
        <f>4447+782+15</f>
        <v>5244</v>
      </c>
      <c r="AU5" s="379">
        <f>453+278</f>
        <v>731</v>
      </c>
      <c r="AV5" s="379">
        <f>453+278+2</f>
        <v>733</v>
      </c>
      <c r="AW5" s="379">
        <f>617+237</f>
        <v>854</v>
      </c>
      <c r="AX5" s="379">
        <f>617+237+4</f>
        <v>858</v>
      </c>
      <c r="AY5" s="379">
        <v>1273</v>
      </c>
      <c r="AZ5" s="379">
        <v>1275</v>
      </c>
      <c r="BA5" s="379">
        <f>1605+81</f>
        <v>1686</v>
      </c>
      <c r="BB5" s="379">
        <f>1605+81-668+3</f>
        <v>1021</v>
      </c>
      <c r="BC5" s="379">
        <f>3842+512</f>
        <v>4354</v>
      </c>
      <c r="BD5" s="379">
        <f>3842+512-655-2</f>
        <v>3697</v>
      </c>
      <c r="BE5" s="379">
        <f>501+166</f>
        <v>667</v>
      </c>
      <c r="BF5" s="379">
        <f>501+166+4</f>
        <v>671</v>
      </c>
      <c r="BG5" s="379">
        <f>848+360</f>
        <v>1208</v>
      </c>
      <c r="BH5" s="379">
        <f>848+360+1</f>
        <v>1209</v>
      </c>
      <c r="BI5" s="379">
        <f>1165+424</f>
        <v>1589</v>
      </c>
      <c r="BJ5" s="379">
        <f>1165+424</f>
        <v>1589</v>
      </c>
      <c r="BK5" s="379">
        <v>558</v>
      </c>
      <c r="BL5" s="379">
        <v>559</v>
      </c>
      <c r="BM5" s="379">
        <v>4022</v>
      </c>
      <c r="BN5" s="379">
        <v>4028</v>
      </c>
      <c r="BO5" s="379">
        <f>-357+403</f>
        <v>46</v>
      </c>
      <c r="BP5" s="379">
        <f>-357+403+4</f>
        <v>50</v>
      </c>
      <c r="BQ5" s="577"/>
    </row>
    <row r="6" spans="2:70" s="375" customFormat="1">
      <c r="B6" s="374" t="str">
        <f>names!$A1075</f>
        <v>efekt LIFO (Rafineria)</v>
      </c>
      <c r="C6" s="381">
        <v>-69</v>
      </c>
      <c r="D6" s="381">
        <v>-412</v>
      </c>
      <c r="E6" s="381">
        <v>328</v>
      </c>
      <c r="F6" s="381">
        <v>-535</v>
      </c>
      <c r="G6" s="381">
        <f>C6+D6+E6+F6</f>
        <v>-688</v>
      </c>
      <c r="H6" s="381">
        <v>-162</v>
      </c>
      <c r="I6" s="381">
        <v>-162</v>
      </c>
      <c r="J6" s="381">
        <v>-147</v>
      </c>
      <c r="K6" s="381">
        <f>J6</f>
        <v>-147</v>
      </c>
      <c r="L6" s="381">
        <v>-620</v>
      </c>
      <c r="M6" s="381">
        <f>L6</f>
        <v>-620</v>
      </c>
      <c r="N6" s="381">
        <v>-1488</v>
      </c>
      <c r="O6" s="381">
        <f>N6</f>
        <v>-1488</v>
      </c>
      <c r="P6" s="381">
        <f>I6+K6+M6+O6</f>
        <v>-2417</v>
      </c>
      <c r="Q6" s="381">
        <v>-270</v>
      </c>
      <c r="R6" s="381">
        <f>Q6</f>
        <v>-270</v>
      </c>
      <c r="S6" s="381">
        <v>153</v>
      </c>
      <c r="T6" s="381">
        <v>153</v>
      </c>
      <c r="U6" s="381">
        <v>-317</v>
      </c>
      <c r="V6" s="381">
        <f>U6</f>
        <v>-317</v>
      </c>
      <c r="W6" s="381">
        <f>-1079</f>
        <v>-1079</v>
      </c>
      <c r="X6" s="381">
        <f>W6</f>
        <v>-1079</v>
      </c>
      <c r="Y6" s="381">
        <f>Q6+S6+U6+W6</f>
        <v>-1513</v>
      </c>
      <c r="Z6" s="381">
        <f>R6+T6+V6+X6</f>
        <v>-1513</v>
      </c>
      <c r="AA6" s="381">
        <v>-898</v>
      </c>
      <c r="AB6" s="381">
        <v>-898</v>
      </c>
      <c r="AC6" s="381">
        <v>394</v>
      </c>
      <c r="AD6" s="381">
        <v>394</v>
      </c>
      <c r="AE6" s="381">
        <v>82</v>
      </c>
      <c r="AF6" s="381">
        <v>82</v>
      </c>
      <c r="AG6" s="381">
        <v>508</v>
      </c>
      <c r="AH6" s="381">
        <v>508</v>
      </c>
      <c r="AI6" s="381">
        <v>86</v>
      </c>
      <c r="AJ6" s="381">
        <v>86</v>
      </c>
      <c r="AK6" s="381">
        <v>513</v>
      </c>
      <c r="AL6" s="381">
        <v>513</v>
      </c>
      <c r="AM6" s="381">
        <v>-304</v>
      </c>
      <c r="AN6" s="381">
        <v>-304</v>
      </c>
      <c r="AO6" s="381">
        <v>-96</v>
      </c>
      <c r="AP6" s="381">
        <v>-96</v>
      </c>
      <c r="AQ6" s="381">
        <v>675</v>
      </c>
      <c r="AR6" s="381">
        <v>675</v>
      </c>
      <c r="AS6" s="381">
        <v>788</v>
      </c>
      <c r="AT6" s="381">
        <v>788</v>
      </c>
      <c r="AU6" s="381">
        <v>147</v>
      </c>
      <c r="AV6" s="381">
        <v>147</v>
      </c>
      <c r="AW6" s="381">
        <v>889</v>
      </c>
      <c r="AX6" s="381">
        <v>889</v>
      </c>
      <c r="AY6" s="381">
        <v>553</v>
      </c>
      <c r="AZ6" s="381">
        <v>553</v>
      </c>
      <c r="BA6" s="381">
        <v>-729</v>
      </c>
      <c r="BB6" s="381">
        <v>-729</v>
      </c>
      <c r="BC6" s="381">
        <v>860</v>
      </c>
      <c r="BD6" s="381">
        <v>860</v>
      </c>
      <c r="BE6" s="381">
        <v>-194</v>
      </c>
      <c r="BF6" s="381">
        <v>-194</v>
      </c>
      <c r="BG6" s="381">
        <v>228</v>
      </c>
      <c r="BH6" s="381">
        <v>228</v>
      </c>
      <c r="BI6" s="381">
        <v>-362</v>
      </c>
      <c r="BJ6" s="381">
        <v>-362</v>
      </c>
      <c r="BK6" s="381">
        <v>183</v>
      </c>
      <c r="BL6" s="381">
        <v>183</v>
      </c>
      <c r="BM6" s="381">
        <v>-145</v>
      </c>
      <c r="BN6" s="381">
        <v>-145</v>
      </c>
      <c r="BO6" s="381">
        <v>-1946</v>
      </c>
      <c r="BP6" s="381">
        <v>-1946</v>
      </c>
      <c r="BQ6" s="577"/>
      <c r="BR6" s="371"/>
    </row>
    <row r="7" spans="2:70">
      <c r="B7" s="373" t="str">
        <f>names!$A1076</f>
        <v xml:space="preserve">Petrochemia </v>
      </c>
      <c r="C7" s="379">
        <f>656</f>
        <v>656</v>
      </c>
      <c r="D7" s="379">
        <f>513</f>
        <v>513</v>
      </c>
      <c r="E7" s="379">
        <f>369</f>
        <v>369</v>
      </c>
      <c r="F7" s="379">
        <f>403</f>
        <v>403</v>
      </c>
      <c r="G7" s="379">
        <f>C7+D7+E7+F7</f>
        <v>1941</v>
      </c>
      <c r="H7" s="379">
        <f>547</f>
        <v>547</v>
      </c>
      <c r="I7" s="379">
        <f>H7-I48</f>
        <v>547</v>
      </c>
      <c r="J7" s="379">
        <f>279</f>
        <v>279</v>
      </c>
      <c r="K7" s="379">
        <f>J7-K48</f>
        <v>337</v>
      </c>
      <c r="L7" s="379">
        <f>585</f>
        <v>585</v>
      </c>
      <c r="M7" s="379">
        <f>L7-M48</f>
        <v>587</v>
      </c>
      <c r="N7" s="379">
        <f>685+10</f>
        <v>695</v>
      </c>
      <c r="O7" s="379">
        <f>N7-O48</f>
        <v>699</v>
      </c>
      <c r="P7" s="379">
        <f>I7+K7+M7+O7</f>
        <v>2170</v>
      </c>
      <c r="Q7" s="379">
        <f>634+27</f>
        <v>661</v>
      </c>
      <c r="R7" s="379">
        <f>Q7-R48</f>
        <v>663</v>
      </c>
      <c r="S7" s="379">
        <f>975+23</f>
        <v>998</v>
      </c>
      <c r="T7" s="379">
        <f>S7-T48</f>
        <v>1002</v>
      </c>
      <c r="U7" s="379">
        <f>767+17+31</f>
        <v>815</v>
      </c>
      <c r="V7" s="379">
        <f>U7-V48</f>
        <v>908</v>
      </c>
      <c r="W7" s="380">
        <f>400+29+27</f>
        <v>456</v>
      </c>
      <c r="X7" s="379">
        <f>W7-X48</f>
        <v>460</v>
      </c>
      <c r="Y7" s="380">
        <f>Q7+S7+U7+W7</f>
        <v>2930</v>
      </c>
      <c r="Z7" s="380">
        <f>Y7-Z48</f>
        <v>3033</v>
      </c>
      <c r="AA7" s="379">
        <f>598+38</f>
        <v>636</v>
      </c>
      <c r="AB7" s="379">
        <f>600+38</f>
        <v>638</v>
      </c>
      <c r="AC7" s="379">
        <f>1077+26</f>
        <v>1103</v>
      </c>
      <c r="AD7" s="379">
        <f>1077+26+2</f>
        <v>1105</v>
      </c>
      <c r="AE7" s="379">
        <f>679+45</f>
        <v>724</v>
      </c>
      <c r="AF7" s="379">
        <f>679+45+2</f>
        <v>726</v>
      </c>
      <c r="AG7" s="379">
        <f>514+62</f>
        <v>576</v>
      </c>
      <c r="AH7" s="379">
        <f>514+62+12+1</f>
        <v>589</v>
      </c>
      <c r="AI7" s="379">
        <f>2868+171</f>
        <v>3039</v>
      </c>
      <c r="AJ7" s="379">
        <f>2868+171+19</f>
        <v>3058</v>
      </c>
      <c r="AK7" s="379">
        <f>742+56</f>
        <v>798</v>
      </c>
      <c r="AL7" s="379">
        <f>742+56</f>
        <v>798</v>
      </c>
      <c r="AM7" s="379">
        <f>1283+62</f>
        <v>1345</v>
      </c>
      <c r="AN7" s="379">
        <f>1283+62+1</f>
        <v>1346</v>
      </c>
      <c r="AO7" s="379">
        <f>789+62</f>
        <v>851</v>
      </c>
      <c r="AP7" s="379">
        <f>789+62</f>
        <v>851</v>
      </c>
      <c r="AQ7" s="379">
        <f>436+42</f>
        <v>478</v>
      </c>
      <c r="AR7" s="379">
        <f>436+42+3</f>
        <v>481</v>
      </c>
      <c r="AS7" s="379">
        <f>3250+222</f>
        <v>3472</v>
      </c>
      <c r="AT7" s="379">
        <f>3250+222+4</f>
        <v>3476</v>
      </c>
      <c r="AU7" s="379">
        <f>743+37</f>
        <v>780</v>
      </c>
      <c r="AV7" s="379">
        <f>743+37</f>
        <v>780</v>
      </c>
      <c r="AW7" s="379">
        <f>684+38</f>
        <v>722</v>
      </c>
      <c r="AX7" s="379">
        <f>684+38</f>
        <v>722</v>
      </c>
      <c r="AY7" s="379">
        <v>487</v>
      </c>
      <c r="AZ7" s="379">
        <v>487</v>
      </c>
      <c r="BA7" s="379">
        <f>278+102</f>
        <v>380</v>
      </c>
      <c r="BB7" s="379">
        <f>278+102+20-55</f>
        <v>345</v>
      </c>
      <c r="BC7" s="379">
        <f>2165+204</f>
        <v>2369</v>
      </c>
      <c r="BD7" s="379">
        <f>2165+204+20-55</f>
        <v>2334</v>
      </c>
      <c r="BE7" s="379">
        <f>700+71</f>
        <v>771</v>
      </c>
      <c r="BF7" s="379">
        <f>700+71+7</f>
        <v>778</v>
      </c>
      <c r="BG7" s="379">
        <f>704+73</f>
        <v>777</v>
      </c>
      <c r="BH7" s="379">
        <f>704+73+5</f>
        <v>782</v>
      </c>
      <c r="BI7" s="379">
        <f>713+91</f>
        <v>804</v>
      </c>
      <c r="BJ7" s="379">
        <f>713+91+9</f>
        <v>813</v>
      </c>
      <c r="BK7" s="379">
        <v>236</v>
      </c>
      <c r="BL7" s="379">
        <v>266</v>
      </c>
      <c r="BM7" s="379">
        <v>2588</v>
      </c>
      <c r="BN7" s="379">
        <v>2639</v>
      </c>
      <c r="BO7" s="379">
        <f>766+85</f>
        <v>851</v>
      </c>
      <c r="BP7" s="379">
        <f>766+85</f>
        <v>851</v>
      </c>
      <c r="BQ7" s="577"/>
    </row>
    <row r="8" spans="2:70" s="375" customFormat="1" ht="12" thickBot="1">
      <c r="B8" s="374" t="str">
        <f>names!$A1077</f>
        <v>efekt LIFO (Petrochemia)</v>
      </c>
      <c r="C8" s="381">
        <v>16</v>
      </c>
      <c r="D8" s="381">
        <v>-27</v>
      </c>
      <c r="E8" s="381">
        <v>34</v>
      </c>
      <c r="F8" s="381">
        <v>-3</v>
      </c>
      <c r="G8" s="381">
        <f>C8+D8+E8+F8</f>
        <v>20</v>
      </c>
      <c r="H8" s="381">
        <v>-15</v>
      </c>
      <c r="I8" s="381">
        <f>H8</f>
        <v>-15</v>
      </c>
      <c r="J8" s="381">
        <v>0</v>
      </c>
      <c r="K8" s="381">
        <f>J8</f>
        <v>0</v>
      </c>
      <c r="L8" s="381">
        <v>-36</v>
      </c>
      <c r="M8" s="381">
        <f>L8</f>
        <v>-36</v>
      </c>
      <c r="N8" s="381">
        <v>-105</v>
      </c>
      <c r="O8" s="381">
        <v>-105</v>
      </c>
      <c r="P8" s="381">
        <f>I8+K8+M8+O8</f>
        <v>-156</v>
      </c>
      <c r="Q8" s="381">
        <v>33</v>
      </c>
      <c r="R8" s="381">
        <f>Q8</f>
        <v>33</v>
      </c>
      <c r="S8" s="381">
        <v>16</v>
      </c>
      <c r="T8" s="381">
        <v>16</v>
      </c>
      <c r="U8" s="381">
        <v>-17</v>
      </c>
      <c r="V8" s="381">
        <f>U8</f>
        <v>-17</v>
      </c>
      <c r="W8" s="381">
        <v>-29</v>
      </c>
      <c r="X8" s="381">
        <f>W8</f>
        <v>-29</v>
      </c>
      <c r="Y8" s="382">
        <f>Q8+S8+U8+W8</f>
        <v>3</v>
      </c>
      <c r="Z8" s="382">
        <f>R8+T8+V8+X8</f>
        <v>3</v>
      </c>
      <c r="AA8" s="381">
        <v>-39</v>
      </c>
      <c r="AB8" s="381">
        <v>-39</v>
      </c>
      <c r="AC8" s="381">
        <v>15</v>
      </c>
      <c r="AD8" s="381">
        <v>15</v>
      </c>
      <c r="AE8" s="381">
        <v>5</v>
      </c>
      <c r="AF8" s="381">
        <v>5</v>
      </c>
      <c r="AG8" s="381">
        <v>18</v>
      </c>
      <c r="AH8" s="381">
        <v>18</v>
      </c>
      <c r="AI8" s="381">
        <v>-1</v>
      </c>
      <c r="AJ8" s="381">
        <v>-1</v>
      </c>
      <c r="AK8" s="381">
        <v>6</v>
      </c>
      <c r="AL8" s="381">
        <v>6</v>
      </c>
      <c r="AM8" s="381">
        <v>-40</v>
      </c>
      <c r="AN8" s="381">
        <v>-40</v>
      </c>
      <c r="AO8" s="381">
        <v>-11</v>
      </c>
      <c r="AP8" s="381">
        <v>-11</v>
      </c>
      <c r="AQ8" s="381">
        <v>56</v>
      </c>
      <c r="AR8" s="381">
        <v>56</v>
      </c>
      <c r="AS8" s="381">
        <v>11</v>
      </c>
      <c r="AT8" s="381">
        <v>11</v>
      </c>
      <c r="AU8" s="381">
        <v>-3</v>
      </c>
      <c r="AV8" s="381">
        <v>-3</v>
      </c>
      <c r="AW8" s="381">
        <v>47</v>
      </c>
      <c r="AX8" s="381">
        <v>47</v>
      </c>
      <c r="AY8" s="381">
        <v>26</v>
      </c>
      <c r="AZ8" s="381">
        <v>26</v>
      </c>
      <c r="BA8" s="381">
        <v>-70</v>
      </c>
      <c r="BB8" s="381">
        <v>-70</v>
      </c>
      <c r="BC8" s="381">
        <v>0</v>
      </c>
      <c r="BD8" s="381">
        <v>0</v>
      </c>
      <c r="BE8" s="381">
        <v>19</v>
      </c>
      <c r="BF8" s="381">
        <v>19</v>
      </c>
      <c r="BG8" s="381">
        <v>-11</v>
      </c>
      <c r="BH8" s="381">
        <v>-11</v>
      </c>
      <c r="BI8" s="381">
        <v>-32</v>
      </c>
      <c r="BJ8" s="381">
        <v>-32</v>
      </c>
      <c r="BK8" s="381">
        <v>38</v>
      </c>
      <c r="BL8" s="381">
        <v>38</v>
      </c>
      <c r="BM8" s="381">
        <v>14</v>
      </c>
      <c r="BN8" s="381">
        <v>14</v>
      </c>
      <c r="BO8" s="381">
        <v>-126</v>
      </c>
      <c r="BP8" s="381">
        <v>-126</v>
      </c>
      <c r="BQ8" s="577"/>
      <c r="BR8" s="371"/>
    </row>
    <row r="9" spans="2:70" ht="12" thickBot="1">
      <c r="B9" s="413" t="str">
        <f>names!$A1078</f>
        <v xml:space="preserve">Downstream </v>
      </c>
      <c r="C9" s="412">
        <f>C5+C7</f>
        <v>932</v>
      </c>
      <c r="D9" s="412">
        <f t="shared" ref="D9:AF9" si="0">D5+D7</f>
        <v>600</v>
      </c>
      <c r="E9" s="412">
        <f t="shared" si="0"/>
        <v>419</v>
      </c>
      <c r="F9" s="412">
        <f t="shared" si="0"/>
        <v>456</v>
      </c>
      <c r="G9" s="412">
        <f t="shared" si="0"/>
        <v>2407</v>
      </c>
      <c r="H9" s="412">
        <f t="shared" si="0"/>
        <v>821</v>
      </c>
      <c r="I9" s="412">
        <f t="shared" si="0"/>
        <v>833</v>
      </c>
      <c r="J9" s="412">
        <f t="shared" si="0"/>
        <v>-4380</v>
      </c>
      <c r="K9" s="412">
        <f t="shared" si="0"/>
        <v>612</v>
      </c>
      <c r="L9" s="412">
        <f t="shared" si="0"/>
        <v>1766</v>
      </c>
      <c r="M9" s="412">
        <f t="shared" si="0"/>
        <v>1778</v>
      </c>
      <c r="N9" s="412">
        <f t="shared" si="0"/>
        <v>941</v>
      </c>
      <c r="O9" s="412">
        <f t="shared" si="0"/>
        <v>987</v>
      </c>
      <c r="P9" s="412">
        <f t="shared" si="0"/>
        <v>4210</v>
      </c>
      <c r="Q9" s="412">
        <f t="shared" si="0"/>
        <v>1741</v>
      </c>
      <c r="R9" s="412">
        <f t="shared" si="0"/>
        <v>1753</v>
      </c>
      <c r="S9" s="412">
        <f t="shared" si="0"/>
        <v>2703</v>
      </c>
      <c r="T9" s="412">
        <f t="shared" si="0"/>
        <v>2712</v>
      </c>
      <c r="U9" s="412">
        <f t="shared" si="0"/>
        <v>1549</v>
      </c>
      <c r="V9" s="412">
        <f t="shared" si="0"/>
        <v>1655</v>
      </c>
      <c r="W9" s="430">
        <f t="shared" si="0"/>
        <v>1647</v>
      </c>
      <c r="X9" s="430">
        <f t="shared" si="0"/>
        <v>1656</v>
      </c>
      <c r="Y9" s="412">
        <f t="shared" si="0"/>
        <v>7640</v>
      </c>
      <c r="Z9" s="412">
        <f t="shared" si="0"/>
        <v>7776</v>
      </c>
      <c r="AA9" s="412">
        <f t="shared" si="0"/>
        <v>1749</v>
      </c>
      <c r="AB9" s="412">
        <f t="shared" si="0"/>
        <v>1755</v>
      </c>
      <c r="AC9" s="412">
        <f t="shared" si="0"/>
        <v>2288</v>
      </c>
      <c r="AD9" s="412">
        <f t="shared" si="0"/>
        <v>2291</v>
      </c>
      <c r="AE9" s="412">
        <f t="shared" si="0"/>
        <v>1693</v>
      </c>
      <c r="AF9" s="412">
        <f t="shared" si="0"/>
        <v>1698</v>
      </c>
      <c r="AG9" s="412">
        <f>AG5+AG7</f>
        <v>2595</v>
      </c>
      <c r="AH9" s="412">
        <f>AH5+AH7</f>
        <v>2363</v>
      </c>
      <c r="AI9" s="412">
        <f>AI5+AI7</f>
        <v>8325</v>
      </c>
      <c r="AJ9" s="412">
        <f>AJ5+AJ7</f>
        <v>8107</v>
      </c>
      <c r="AK9" s="412">
        <f t="shared" ref="AK9:AP9" si="1">AK5+AK7</f>
        <v>2020</v>
      </c>
      <c r="AL9" s="412">
        <f>AL5+AL7</f>
        <v>2021</v>
      </c>
      <c r="AM9" s="412">
        <f t="shared" si="1"/>
        <v>2551</v>
      </c>
      <c r="AN9" s="412">
        <f t="shared" si="1"/>
        <v>2550</v>
      </c>
      <c r="AO9" s="412">
        <f t="shared" si="1"/>
        <v>2510</v>
      </c>
      <c r="AP9" s="412">
        <f t="shared" si="1"/>
        <v>2513</v>
      </c>
      <c r="AQ9" s="412">
        <f t="shared" ref="AQ9:AV9" si="2">AQ5+AQ7</f>
        <v>1620</v>
      </c>
      <c r="AR9" s="412">
        <f t="shared" si="2"/>
        <v>1636</v>
      </c>
      <c r="AS9" s="412">
        <f t="shared" si="2"/>
        <v>8701</v>
      </c>
      <c r="AT9" s="412">
        <f t="shared" si="2"/>
        <v>8720</v>
      </c>
      <c r="AU9" s="412">
        <f t="shared" si="2"/>
        <v>1511</v>
      </c>
      <c r="AV9" s="412">
        <f t="shared" si="2"/>
        <v>1513</v>
      </c>
      <c r="AW9" s="412">
        <f t="shared" ref="AW9:BE9" si="3">AW5+AW7</f>
        <v>1576</v>
      </c>
      <c r="AX9" s="412">
        <f>AX5+AX7</f>
        <v>1580</v>
      </c>
      <c r="AY9" s="412">
        <f t="shared" si="3"/>
        <v>1760</v>
      </c>
      <c r="AZ9" s="412">
        <f t="shared" si="3"/>
        <v>1762</v>
      </c>
      <c r="BA9" s="412">
        <f t="shared" si="3"/>
        <v>2066</v>
      </c>
      <c r="BB9" s="412">
        <f t="shared" si="3"/>
        <v>1366</v>
      </c>
      <c r="BC9" s="412">
        <f t="shared" si="3"/>
        <v>6723</v>
      </c>
      <c r="BD9" s="412">
        <f t="shared" si="3"/>
        <v>6031</v>
      </c>
      <c r="BE9" s="412">
        <f t="shared" si="3"/>
        <v>1438</v>
      </c>
      <c r="BF9" s="412">
        <f t="shared" ref="BF9:BM9" si="4">BF5+BF7</f>
        <v>1449</v>
      </c>
      <c r="BG9" s="412">
        <f t="shared" si="4"/>
        <v>1985</v>
      </c>
      <c r="BH9" s="412">
        <f t="shared" si="4"/>
        <v>1991</v>
      </c>
      <c r="BI9" s="412">
        <f t="shared" si="4"/>
        <v>2393</v>
      </c>
      <c r="BJ9" s="412">
        <f t="shared" si="4"/>
        <v>2402</v>
      </c>
      <c r="BK9" s="412">
        <f t="shared" si="4"/>
        <v>794</v>
      </c>
      <c r="BL9" s="412">
        <f>BL5+BL7</f>
        <v>825</v>
      </c>
      <c r="BM9" s="412">
        <f t="shared" si="4"/>
        <v>6610</v>
      </c>
      <c r="BN9" s="412">
        <f>BN5+BN7</f>
        <v>6667</v>
      </c>
      <c r="BO9" s="412">
        <f>BO5+BO7</f>
        <v>897</v>
      </c>
      <c r="BP9" s="412">
        <f>BP5+BP7</f>
        <v>901</v>
      </c>
      <c r="BQ9" s="577"/>
    </row>
    <row r="10" spans="2:70">
      <c r="B10" s="376" t="str">
        <f>names!$A1079</f>
        <v xml:space="preserve">Detal </v>
      </c>
      <c r="C10" s="379">
        <v>123</v>
      </c>
      <c r="D10" s="379">
        <v>369</v>
      </c>
      <c r="E10" s="379">
        <v>451</v>
      </c>
      <c r="F10" s="379">
        <v>325</v>
      </c>
      <c r="G10" s="379">
        <f>C10+D10+E10+F10</f>
        <v>1268</v>
      </c>
      <c r="H10" s="379">
        <v>234</v>
      </c>
      <c r="I10" s="379">
        <v>237</v>
      </c>
      <c r="J10" s="379">
        <v>357</v>
      </c>
      <c r="K10" s="379">
        <f>J10-K49</f>
        <v>359</v>
      </c>
      <c r="L10" s="379">
        <v>441</v>
      </c>
      <c r="M10" s="379">
        <f>L10-M49</f>
        <v>441</v>
      </c>
      <c r="N10" s="379">
        <v>408</v>
      </c>
      <c r="O10" s="379">
        <f>N10-O49</f>
        <v>379</v>
      </c>
      <c r="P10" s="379">
        <f>I10+K10+M10+O10</f>
        <v>1416</v>
      </c>
      <c r="Q10" s="379">
        <v>283</v>
      </c>
      <c r="R10" s="379">
        <f>Q10-R49</f>
        <v>282</v>
      </c>
      <c r="S10" s="379">
        <v>343</v>
      </c>
      <c r="T10" s="379">
        <f>S10-T49</f>
        <v>349</v>
      </c>
      <c r="U10" s="379">
        <v>544</v>
      </c>
      <c r="V10" s="379">
        <f>U10-V49</f>
        <v>539</v>
      </c>
      <c r="W10" s="380">
        <v>369</v>
      </c>
      <c r="X10" s="379">
        <f>W10-X49</f>
        <v>369</v>
      </c>
      <c r="Y10" s="380">
        <f t="shared" ref="Y10:Z12" si="5">Q10+S10+U10+W10</f>
        <v>1539</v>
      </c>
      <c r="Z10" s="380">
        <f t="shared" si="5"/>
        <v>1539</v>
      </c>
      <c r="AA10" s="379">
        <v>300</v>
      </c>
      <c r="AB10" s="379">
        <v>301</v>
      </c>
      <c r="AC10" s="379">
        <v>442</v>
      </c>
      <c r="AD10" s="379">
        <v>441</v>
      </c>
      <c r="AE10" s="379">
        <v>618</v>
      </c>
      <c r="AF10" s="379">
        <f>618+1</f>
        <v>619</v>
      </c>
      <c r="AG10" s="379">
        <v>434</v>
      </c>
      <c r="AH10" s="379">
        <f>434+6</f>
        <v>440</v>
      </c>
      <c r="AI10" s="379">
        <v>1794</v>
      </c>
      <c r="AJ10" s="379">
        <f>1794+7</f>
        <v>1801</v>
      </c>
      <c r="AK10" s="379">
        <v>372</v>
      </c>
      <c r="AL10" s="379">
        <v>372</v>
      </c>
      <c r="AM10" s="379">
        <v>564</v>
      </c>
      <c r="AN10" s="379">
        <f>564+12</f>
        <v>576</v>
      </c>
      <c r="AO10" s="379">
        <v>609</v>
      </c>
      <c r="AP10" s="379">
        <f>609+1</f>
        <v>610</v>
      </c>
      <c r="AQ10" s="379">
        <v>493</v>
      </c>
      <c r="AR10" s="379">
        <f>493-2</f>
        <v>491</v>
      </c>
      <c r="AS10" s="379">
        <v>2038</v>
      </c>
      <c r="AT10" s="379">
        <f>2038+11</f>
        <v>2049</v>
      </c>
      <c r="AU10" s="379">
        <v>471</v>
      </c>
      <c r="AV10" s="379">
        <f>471-7</f>
        <v>464</v>
      </c>
      <c r="AW10" s="379">
        <v>677</v>
      </c>
      <c r="AX10" s="379">
        <v>677</v>
      </c>
      <c r="AY10" s="379">
        <v>712</v>
      </c>
      <c r="AZ10" s="379">
        <f>712+11</f>
        <v>723</v>
      </c>
      <c r="BA10" s="379">
        <v>907</v>
      </c>
      <c r="BB10" s="379">
        <f>907+10</f>
        <v>917</v>
      </c>
      <c r="BC10" s="379">
        <v>2767</v>
      </c>
      <c r="BD10" s="379">
        <f>2767+14</f>
        <v>2781</v>
      </c>
      <c r="BE10" s="379">
        <v>678</v>
      </c>
      <c r="BF10" s="379">
        <f>678-2</f>
        <v>676</v>
      </c>
      <c r="BG10" s="379">
        <v>855</v>
      </c>
      <c r="BH10" s="379">
        <f>855+4</f>
        <v>859</v>
      </c>
      <c r="BI10" s="379">
        <v>924</v>
      </c>
      <c r="BJ10" s="379">
        <f>924+1</f>
        <v>925</v>
      </c>
      <c r="BK10" s="379">
        <v>604</v>
      </c>
      <c r="BL10" s="379">
        <f>604-19</f>
        <v>585</v>
      </c>
      <c r="BM10" s="379">
        <v>3061</v>
      </c>
      <c r="BN10" s="379">
        <f>3061-16</f>
        <v>3045</v>
      </c>
      <c r="BO10" s="379">
        <v>702</v>
      </c>
      <c r="BP10" s="379">
        <f>702+4</f>
        <v>706</v>
      </c>
      <c r="BQ10" s="577"/>
    </row>
    <row r="11" spans="2:70">
      <c r="B11" s="376" t="str">
        <f>names!$A1080</f>
        <v xml:space="preserve">Wydobycie </v>
      </c>
      <c r="C11" s="379">
        <v>-6</v>
      </c>
      <c r="D11" s="379">
        <v>-3</v>
      </c>
      <c r="E11" s="379">
        <v>-9</v>
      </c>
      <c r="F11" s="414">
        <v>-14</v>
      </c>
      <c r="G11" s="379">
        <f>C11+D11+E11+F11</f>
        <v>-32</v>
      </c>
      <c r="H11" s="379">
        <v>31</v>
      </c>
      <c r="I11" s="379">
        <v>31</v>
      </c>
      <c r="J11" s="379">
        <v>19</v>
      </c>
      <c r="K11" s="379">
        <f>J11-K50</f>
        <v>27</v>
      </c>
      <c r="L11" s="379">
        <v>52</v>
      </c>
      <c r="M11" s="379">
        <v>52</v>
      </c>
      <c r="N11" s="379">
        <v>-272</v>
      </c>
      <c r="O11" s="379">
        <f>N11-O50</f>
        <v>42</v>
      </c>
      <c r="P11" s="379">
        <f>I11+K11+M11+O11</f>
        <v>152</v>
      </c>
      <c r="Q11" s="379">
        <v>14</v>
      </c>
      <c r="R11" s="379">
        <f>Q11-R50</f>
        <v>14</v>
      </c>
      <c r="S11" s="379">
        <v>-416</v>
      </c>
      <c r="T11" s="379">
        <f>S11-T50</f>
        <v>13</v>
      </c>
      <c r="U11" s="379">
        <v>10</v>
      </c>
      <c r="V11" s="379">
        <f>U11-V50</f>
        <v>10</v>
      </c>
      <c r="W11" s="380">
        <v>-416</v>
      </c>
      <c r="X11" s="379">
        <f>W11-X50</f>
        <v>7</v>
      </c>
      <c r="Y11" s="380">
        <f t="shared" si="5"/>
        <v>-808</v>
      </c>
      <c r="Z11" s="380">
        <f t="shared" si="5"/>
        <v>44</v>
      </c>
      <c r="AA11" s="379">
        <v>27</v>
      </c>
      <c r="AB11" s="379">
        <v>27</v>
      </c>
      <c r="AC11" s="379">
        <v>40</v>
      </c>
      <c r="AD11" s="379">
        <v>42</v>
      </c>
      <c r="AE11" s="379">
        <v>59</v>
      </c>
      <c r="AF11" s="379">
        <f>59-1</f>
        <v>58</v>
      </c>
      <c r="AG11" s="379">
        <v>56</v>
      </c>
      <c r="AH11" s="379">
        <f>56+72</f>
        <v>128</v>
      </c>
      <c r="AI11" s="379">
        <v>182</v>
      </c>
      <c r="AJ11" s="379">
        <f>182+73</f>
        <v>255</v>
      </c>
      <c r="AK11" s="379">
        <v>79</v>
      </c>
      <c r="AL11" s="379">
        <f>79+1</f>
        <v>80</v>
      </c>
      <c r="AM11" s="379">
        <v>82</v>
      </c>
      <c r="AN11" s="379">
        <v>82</v>
      </c>
      <c r="AO11" s="379">
        <v>11</v>
      </c>
      <c r="AP11" s="379">
        <f>11+42</f>
        <v>53</v>
      </c>
      <c r="AQ11" s="379">
        <v>-19</v>
      </c>
      <c r="AR11" s="379">
        <f>-19+97</f>
        <v>78</v>
      </c>
      <c r="AS11" s="379">
        <v>153</v>
      </c>
      <c r="AT11" s="379">
        <f>153+140</f>
        <v>293</v>
      </c>
      <c r="AU11" s="379">
        <v>66</v>
      </c>
      <c r="AV11" s="379">
        <f>66+2</f>
        <v>68</v>
      </c>
      <c r="AW11" s="379">
        <v>72</v>
      </c>
      <c r="AX11" s="379">
        <f>72+10</f>
        <v>82</v>
      </c>
      <c r="AY11" s="379">
        <v>86</v>
      </c>
      <c r="AZ11" s="379">
        <v>86</v>
      </c>
      <c r="BA11" s="379">
        <v>63</v>
      </c>
      <c r="BB11" s="379">
        <f>63+6</f>
        <v>69</v>
      </c>
      <c r="BC11" s="379">
        <v>287</v>
      </c>
      <c r="BD11" s="379">
        <f>287+18</f>
        <v>305</v>
      </c>
      <c r="BE11" s="379">
        <v>93</v>
      </c>
      <c r="BF11" s="379">
        <f>93+1</f>
        <v>94</v>
      </c>
      <c r="BG11" s="379">
        <v>82</v>
      </c>
      <c r="BH11" s="379">
        <f>82+1</f>
        <v>83</v>
      </c>
      <c r="BI11" s="379">
        <v>23</v>
      </c>
      <c r="BJ11" s="379">
        <f>23+62</f>
        <v>85</v>
      </c>
      <c r="BK11" s="379">
        <v>-34</v>
      </c>
      <c r="BL11" s="379">
        <f>-34+67</f>
        <v>33</v>
      </c>
      <c r="BM11" s="379">
        <v>164</v>
      </c>
      <c r="BN11" s="379">
        <f>164+131</f>
        <v>295</v>
      </c>
      <c r="BO11" s="379">
        <v>-277</v>
      </c>
      <c r="BP11" s="379">
        <f>-277+496</f>
        <v>219</v>
      </c>
      <c r="BQ11" s="577"/>
    </row>
    <row r="12" spans="2:70" ht="12" thickBot="1">
      <c r="B12" s="377" t="str">
        <f>names!$A1081</f>
        <v>Corporate functions</v>
      </c>
      <c r="C12" s="383">
        <v>-139</v>
      </c>
      <c r="D12" s="383">
        <v>-147</v>
      </c>
      <c r="E12" s="383">
        <v>-96</v>
      </c>
      <c r="F12" s="415">
        <v>-175</v>
      </c>
      <c r="G12" s="383">
        <f>C12+D12+E12+F12</f>
        <v>-557</v>
      </c>
      <c r="H12" s="383">
        <v>-133</v>
      </c>
      <c r="I12" s="383">
        <v>-133</v>
      </c>
      <c r="J12" s="383">
        <v>-142</v>
      </c>
      <c r="K12" s="383">
        <f>J12</f>
        <v>-142</v>
      </c>
      <c r="L12" s="383">
        <v>-142</v>
      </c>
      <c r="M12" s="383">
        <f>L12-M50</f>
        <v>-142</v>
      </c>
      <c r="N12" s="383">
        <v>-148</v>
      </c>
      <c r="O12" s="383">
        <f>N12</f>
        <v>-148</v>
      </c>
      <c r="P12" s="383">
        <f>I12+K12+M12+O12</f>
        <v>-565</v>
      </c>
      <c r="Q12" s="383">
        <v>-139</v>
      </c>
      <c r="R12" s="383">
        <f>Q12</f>
        <v>-139</v>
      </c>
      <c r="S12" s="383">
        <f>-172</f>
        <v>-172</v>
      </c>
      <c r="T12" s="383">
        <f>S12</f>
        <v>-172</v>
      </c>
      <c r="U12" s="383">
        <v>-144</v>
      </c>
      <c r="V12" s="383">
        <f>U12</f>
        <v>-144</v>
      </c>
      <c r="W12" s="384">
        <v>-171</v>
      </c>
      <c r="X12" s="384">
        <f>W12-X51</f>
        <v>-166</v>
      </c>
      <c r="Y12" s="384">
        <f t="shared" si="5"/>
        <v>-626</v>
      </c>
      <c r="Z12" s="384">
        <f t="shared" si="5"/>
        <v>-621</v>
      </c>
      <c r="AA12" s="383">
        <v>-146</v>
      </c>
      <c r="AB12" s="383">
        <v>-146</v>
      </c>
      <c r="AC12" s="383">
        <v>-180</v>
      </c>
      <c r="AD12" s="383">
        <v>-180</v>
      </c>
      <c r="AE12" s="383">
        <v>-146</v>
      </c>
      <c r="AF12" s="383">
        <f>-146-3</f>
        <v>-149</v>
      </c>
      <c r="AG12" s="383">
        <v>-272</v>
      </c>
      <c r="AH12" s="383">
        <f>-272-4</f>
        <v>-276</v>
      </c>
      <c r="AI12" s="383">
        <v>-744</v>
      </c>
      <c r="AJ12" s="383">
        <f>-744-7</f>
        <v>-751</v>
      </c>
      <c r="AK12" s="383">
        <v>-152</v>
      </c>
      <c r="AL12" s="383">
        <v>-152</v>
      </c>
      <c r="AM12" s="383">
        <v>-152</v>
      </c>
      <c r="AN12" s="383">
        <f>-152+2</f>
        <v>-150</v>
      </c>
      <c r="AO12" s="383">
        <v>-133</v>
      </c>
      <c r="AP12" s="383">
        <f>-133+4</f>
        <v>-129</v>
      </c>
      <c r="AQ12" s="383">
        <v>-176</v>
      </c>
      <c r="AR12" s="383">
        <f>-176-7</f>
        <v>-183</v>
      </c>
      <c r="AS12" s="383">
        <v>-613</v>
      </c>
      <c r="AT12" s="383">
        <f>-613-1</f>
        <v>-614</v>
      </c>
      <c r="AU12" s="383">
        <v>-152</v>
      </c>
      <c r="AV12" s="383">
        <v>-152</v>
      </c>
      <c r="AW12" s="383">
        <v>-214</v>
      </c>
      <c r="AX12" s="383">
        <f>-214+2</f>
        <v>-212</v>
      </c>
      <c r="AY12" s="383">
        <v>-169</v>
      </c>
      <c r="AZ12" s="383">
        <f>-169+3</f>
        <v>-166</v>
      </c>
      <c r="BA12" s="383">
        <v>-214</v>
      </c>
      <c r="BB12" s="383">
        <f>-214-49</f>
        <v>-263</v>
      </c>
      <c r="BC12" s="383">
        <v>-749</v>
      </c>
      <c r="BD12" s="383">
        <f>-749-44</f>
        <v>-793</v>
      </c>
      <c r="BE12" s="383">
        <v>-205</v>
      </c>
      <c r="BF12" s="383">
        <v>-205</v>
      </c>
      <c r="BG12" s="383">
        <v>-207</v>
      </c>
      <c r="BH12" s="383">
        <f>-207+6</f>
        <v>-201</v>
      </c>
      <c r="BI12" s="383">
        <v>-246</v>
      </c>
      <c r="BJ12" s="383">
        <f>-246+1</f>
        <v>-245</v>
      </c>
      <c r="BK12" s="383">
        <v>-184</v>
      </c>
      <c r="BL12" s="383">
        <v>-184</v>
      </c>
      <c r="BM12" s="383">
        <v>-842</v>
      </c>
      <c r="BN12" s="383">
        <f>-842+7</f>
        <v>-835</v>
      </c>
      <c r="BO12" s="383">
        <v>-219</v>
      </c>
      <c r="BP12" s="383">
        <v>-219</v>
      </c>
      <c r="BQ12" s="577"/>
    </row>
    <row r="13" spans="2:70" ht="12" thickBot="1">
      <c r="B13" s="413" t="str">
        <f>names!$A1082</f>
        <v>EBITDA LIFO</v>
      </c>
      <c r="C13" s="412">
        <f t="shared" ref="C13:AF13" si="6">SUM(C9:C12)</f>
        <v>910</v>
      </c>
      <c r="D13" s="412">
        <f t="shared" si="6"/>
        <v>819</v>
      </c>
      <c r="E13" s="412">
        <f t="shared" si="6"/>
        <v>765</v>
      </c>
      <c r="F13" s="412">
        <f t="shared" si="6"/>
        <v>592</v>
      </c>
      <c r="G13" s="412">
        <f t="shared" si="6"/>
        <v>3086</v>
      </c>
      <c r="H13" s="412">
        <f t="shared" si="6"/>
        <v>953</v>
      </c>
      <c r="I13" s="412">
        <f t="shared" si="6"/>
        <v>968</v>
      </c>
      <c r="J13" s="412">
        <f t="shared" si="6"/>
        <v>-4146</v>
      </c>
      <c r="K13" s="412">
        <f t="shared" si="6"/>
        <v>856</v>
      </c>
      <c r="L13" s="412">
        <f t="shared" si="6"/>
        <v>2117</v>
      </c>
      <c r="M13" s="412">
        <f t="shared" si="6"/>
        <v>2129</v>
      </c>
      <c r="N13" s="412">
        <f t="shared" si="6"/>
        <v>929</v>
      </c>
      <c r="O13" s="412">
        <f t="shared" si="6"/>
        <v>1260</v>
      </c>
      <c r="P13" s="412">
        <f t="shared" si="6"/>
        <v>5213</v>
      </c>
      <c r="Q13" s="412">
        <f t="shared" si="6"/>
        <v>1899</v>
      </c>
      <c r="R13" s="412">
        <f t="shared" si="6"/>
        <v>1910</v>
      </c>
      <c r="S13" s="412">
        <f t="shared" si="6"/>
        <v>2458</v>
      </c>
      <c r="T13" s="412">
        <f t="shared" si="6"/>
        <v>2902</v>
      </c>
      <c r="U13" s="412">
        <f t="shared" si="6"/>
        <v>1959</v>
      </c>
      <c r="V13" s="412">
        <f t="shared" si="6"/>
        <v>2060</v>
      </c>
      <c r="W13" s="430">
        <f t="shared" si="6"/>
        <v>1429</v>
      </c>
      <c r="X13" s="430">
        <f t="shared" si="6"/>
        <v>1866</v>
      </c>
      <c r="Y13" s="412">
        <f t="shared" si="6"/>
        <v>7745</v>
      </c>
      <c r="Z13" s="412">
        <f t="shared" si="6"/>
        <v>8738</v>
      </c>
      <c r="AA13" s="412">
        <f t="shared" si="6"/>
        <v>1930</v>
      </c>
      <c r="AB13" s="412">
        <f t="shared" si="6"/>
        <v>1937</v>
      </c>
      <c r="AC13" s="412">
        <f t="shared" si="6"/>
        <v>2590</v>
      </c>
      <c r="AD13" s="412">
        <f t="shared" si="6"/>
        <v>2594</v>
      </c>
      <c r="AE13" s="412">
        <f t="shared" si="6"/>
        <v>2224</v>
      </c>
      <c r="AF13" s="412">
        <f t="shared" si="6"/>
        <v>2226</v>
      </c>
      <c r="AG13" s="412">
        <f>SUM(AG9:AG12)</f>
        <v>2813</v>
      </c>
      <c r="AH13" s="412">
        <f>SUM(AH9:AH12)</f>
        <v>2655</v>
      </c>
      <c r="AI13" s="412">
        <f>SUM(AI9:AI12)</f>
        <v>9557</v>
      </c>
      <c r="AJ13" s="412">
        <f>SUM(AJ9:AJ12)</f>
        <v>9412</v>
      </c>
      <c r="AK13" s="412">
        <f t="shared" ref="AK13:AP13" si="7">SUM(AK9:AK12)</f>
        <v>2319</v>
      </c>
      <c r="AL13" s="412">
        <f>SUM(AL9:AL12)</f>
        <v>2321</v>
      </c>
      <c r="AM13" s="412">
        <f t="shared" si="7"/>
        <v>3045</v>
      </c>
      <c r="AN13" s="412">
        <f t="shared" si="7"/>
        <v>3058</v>
      </c>
      <c r="AO13" s="412">
        <f t="shared" si="7"/>
        <v>2997</v>
      </c>
      <c r="AP13" s="412">
        <f t="shared" si="7"/>
        <v>3047</v>
      </c>
      <c r="AQ13" s="412">
        <f t="shared" ref="AQ13:AV13" si="8">SUM(AQ9:AQ12)</f>
        <v>1918</v>
      </c>
      <c r="AR13" s="412">
        <f t="shared" si="8"/>
        <v>2022</v>
      </c>
      <c r="AS13" s="412">
        <f t="shared" si="8"/>
        <v>10279</v>
      </c>
      <c r="AT13" s="412">
        <f t="shared" si="8"/>
        <v>10448</v>
      </c>
      <c r="AU13" s="412">
        <f t="shared" si="8"/>
        <v>1896</v>
      </c>
      <c r="AV13" s="412">
        <f t="shared" si="8"/>
        <v>1893</v>
      </c>
      <c r="AW13" s="412">
        <f t="shared" ref="AW13:BE13" si="9">SUM(AW9:AW12)</f>
        <v>2111</v>
      </c>
      <c r="AX13" s="412">
        <f>SUM(AX9:AX12)</f>
        <v>2127</v>
      </c>
      <c r="AY13" s="412">
        <f t="shared" si="9"/>
        <v>2389</v>
      </c>
      <c r="AZ13" s="412">
        <f t="shared" si="9"/>
        <v>2405</v>
      </c>
      <c r="BA13" s="412">
        <f t="shared" si="9"/>
        <v>2822</v>
      </c>
      <c r="BB13" s="412">
        <f t="shared" si="9"/>
        <v>2089</v>
      </c>
      <c r="BC13" s="412">
        <f t="shared" si="9"/>
        <v>9028</v>
      </c>
      <c r="BD13" s="412">
        <f t="shared" si="9"/>
        <v>8324</v>
      </c>
      <c r="BE13" s="412">
        <f t="shared" si="9"/>
        <v>2004</v>
      </c>
      <c r="BF13" s="412">
        <f t="shared" ref="BF13:BM13" si="10">SUM(BF9:BF12)</f>
        <v>2014</v>
      </c>
      <c r="BG13" s="412">
        <f t="shared" si="10"/>
        <v>2715</v>
      </c>
      <c r="BH13" s="412">
        <f t="shared" si="10"/>
        <v>2732</v>
      </c>
      <c r="BI13" s="412">
        <f t="shared" si="10"/>
        <v>3094</v>
      </c>
      <c r="BJ13" s="412">
        <f t="shared" si="10"/>
        <v>3167</v>
      </c>
      <c r="BK13" s="412">
        <f t="shared" si="10"/>
        <v>1180</v>
      </c>
      <c r="BL13" s="412">
        <f>SUM(BL9:BL12)</f>
        <v>1259</v>
      </c>
      <c r="BM13" s="412">
        <f t="shared" si="10"/>
        <v>8993</v>
      </c>
      <c r="BN13" s="412">
        <f>SUM(BN9:BN12)</f>
        <v>9172</v>
      </c>
      <c r="BO13" s="412">
        <f>SUM(BO9:BO12)</f>
        <v>1103</v>
      </c>
      <c r="BP13" s="412">
        <f>SUM(BP9:BP12)</f>
        <v>1607</v>
      </c>
      <c r="BQ13" s="577"/>
    </row>
    <row r="14" spans="2:70">
      <c r="B14" s="375"/>
      <c r="C14" s="378"/>
      <c r="D14" s="378"/>
      <c r="E14" s="416"/>
      <c r="F14" s="378"/>
      <c r="G14" s="378"/>
      <c r="H14" s="378"/>
      <c r="I14" s="378"/>
      <c r="J14" s="378"/>
      <c r="K14" s="378"/>
      <c r="L14" s="378"/>
      <c r="M14" s="378"/>
      <c r="N14" s="378"/>
      <c r="O14" s="378"/>
      <c r="P14" s="378"/>
      <c r="Q14" s="378"/>
      <c r="R14" s="378"/>
      <c r="S14" s="378"/>
      <c r="T14" s="378"/>
      <c r="U14" s="378"/>
      <c r="V14" s="378"/>
      <c r="AA14" s="378"/>
      <c r="AB14" s="378"/>
      <c r="AC14" s="378"/>
      <c r="AD14" s="378"/>
      <c r="AE14" s="378"/>
      <c r="AF14" s="378"/>
      <c r="AG14" s="378"/>
      <c r="AH14" s="378"/>
      <c r="AI14" s="378"/>
      <c r="AJ14" s="378"/>
      <c r="AK14" s="378"/>
      <c r="AL14" s="378"/>
      <c r="AM14" s="378"/>
      <c r="AN14" s="378"/>
      <c r="AO14" s="378"/>
      <c r="AP14" s="378"/>
      <c r="AQ14" s="378"/>
      <c r="AR14" s="378"/>
      <c r="AS14" s="378"/>
      <c r="AT14" s="378"/>
      <c r="AU14" s="378"/>
      <c r="AV14" s="378"/>
      <c r="AW14" s="378"/>
      <c r="AX14" s="378"/>
      <c r="AY14" s="378"/>
      <c r="AZ14" s="378"/>
      <c r="BA14" s="378"/>
      <c r="BB14" s="378"/>
      <c r="BC14" s="378"/>
      <c r="BD14" s="378"/>
      <c r="BE14" s="378"/>
      <c r="BF14" s="378"/>
      <c r="BG14" s="378"/>
      <c r="BH14" s="378"/>
      <c r="BI14" s="378"/>
      <c r="BJ14" s="378"/>
      <c r="BK14" s="378"/>
      <c r="BL14" s="378"/>
      <c r="BM14" s="378"/>
      <c r="BN14" s="378"/>
      <c r="BO14" s="378"/>
      <c r="BP14" s="378"/>
      <c r="BQ14" s="577"/>
      <c r="BR14" s="371" t="s">
        <v>1634</v>
      </c>
    </row>
    <row r="15" spans="2:70">
      <c r="B15" s="375"/>
      <c r="C15" s="378"/>
      <c r="D15" s="378"/>
      <c r="E15" s="416"/>
      <c r="F15" s="378"/>
      <c r="G15" s="378"/>
      <c r="H15" s="378"/>
      <c r="I15" s="378"/>
      <c r="J15" s="378"/>
      <c r="K15" s="378"/>
      <c r="L15" s="378"/>
      <c r="M15" s="378"/>
      <c r="N15" s="378"/>
      <c r="O15" s="378"/>
      <c r="P15" s="378"/>
      <c r="Q15" s="378"/>
      <c r="R15" s="378"/>
      <c r="S15" s="378"/>
      <c r="T15" s="378"/>
      <c r="U15" s="378"/>
      <c r="V15" s="378"/>
      <c r="AA15" s="418"/>
      <c r="AB15" s="378"/>
      <c r="AC15" s="418"/>
      <c r="AD15" s="378"/>
      <c r="AE15" s="418"/>
      <c r="AF15" s="378"/>
      <c r="AG15" s="418"/>
      <c r="AH15" s="378"/>
      <c r="AI15" s="418"/>
      <c r="AJ15" s="378"/>
      <c r="AK15" s="418"/>
      <c r="AL15" s="378"/>
      <c r="AM15" s="418"/>
      <c r="AN15" s="378"/>
      <c r="AO15" s="418"/>
      <c r="AP15" s="378"/>
      <c r="AQ15" s="418"/>
      <c r="AR15" s="378"/>
      <c r="AS15" s="418"/>
      <c r="AT15" s="378"/>
      <c r="AU15" s="418"/>
      <c r="AV15" s="378"/>
      <c r="AW15" s="418"/>
      <c r="AX15" s="378"/>
      <c r="AY15" s="418"/>
      <c r="AZ15" s="378"/>
      <c r="BA15" s="418"/>
      <c r="BB15" s="378"/>
      <c r="BC15" s="418"/>
      <c r="BD15" s="378"/>
      <c r="BE15" s="418"/>
      <c r="BF15" s="378"/>
      <c r="BG15" s="418"/>
      <c r="BH15" s="378"/>
      <c r="BI15" s="418"/>
      <c r="BJ15" s="378"/>
      <c r="BK15" s="418"/>
      <c r="BL15" s="378"/>
      <c r="BM15" s="418"/>
      <c r="BN15" s="378"/>
      <c r="BO15" s="418"/>
      <c r="BP15" s="378"/>
      <c r="BQ15" s="577"/>
    </row>
    <row r="16" spans="2:70">
      <c r="B16" s="375"/>
      <c r="C16" s="378"/>
      <c r="D16" s="378"/>
      <c r="E16" s="416"/>
      <c r="F16" s="378"/>
      <c r="G16" s="378"/>
      <c r="H16" s="378"/>
      <c r="I16" s="378"/>
      <c r="J16" s="378"/>
      <c r="K16" s="378"/>
      <c r="L16" s="378"/>
      <c r="M16" s="378"/>
      <c r="N16" s="378"/>
      <c r="O16" s="378"/>
      <c r="P16" s="378"/>
      <c r="Q16" s="378"/>
      <c r="R16" s="378"/>
      <c r="S16" s="378"/>
      <c r="T16" s="378"/>
      <c r="U16" s="378"/>
      <c r="V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c r="BG16" s="378"/>
      <c r="BH16" s="378"/>
      <c r="BI16" s="378"/>
      <c r="BJ16" s="378"/>
      <c r="BK16" s="378"/>
      <c r="BL16" s="378"/>
      <c r="BM16" s="378"/>
      <c r="BN16" s="378"/>
      <c r="BO16" s="378"/>
      <c r="BP16" s="378"/>
      <c r="BQ16" s="577"/>
    </row>
    <row r="17" spans="2:69" ht="15.75">
      <c r="B17" s="396" t="str">
        <f>names!$A1086</f>
        <v>Amortyzacja</v>
      </c>
      <c r="C17" s="378"/>
      <c r="D17" s="378"/>
      <c r="E17" s="378"/>
      <c r="F17" s="378"/>
      <c r="G17" s="378"/>
      <c r="H17" s="378"/>
      <c r="I17" s="378"/>
      <c r="J17" s="378"/>
      <c r="K17" s="378"/>
      <c r="L17" s="378"/>
      <c r="M17" s="378"/>
      <c r="N17" s="378"/>
      <c r="O17" s="378"/>
      <c r="P17" s="378"/>
      <c r="Q17" s="378"/>
      <c r="R17" s="378"/>
      <c r="S17" s="378"/>
      <c r="T17" s="378"/>
      <c r="U17" s="378"/>
      <c r="V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8"/>
      <c r="AX17" s="378"/>
      <c r="AY17" s="378"/>
      <c r="AZ17" s="378"/>
      <c r="BA17" s="378"/>
      <c r="BB17" s="378"/>
      <c r="BC17" s="378"/>
      <c r="BD17" s="378"/>
      <c r="BE17" s="378"/>
      <c r="BF17" s="378"/>
      <c r="BG17" s="378"/>
      <c r="BH17" s="378"/>
      <c r="BI17" s="378"/>
      <c r="BJ17" s="378"/>
      <c r="BK17" s="378"/>
      <c r="BL17" s="378"/>
      <c r="BM17" s="378"/>
      <c r="BN17" s="378"/>
      <c r="BO17" s="378"/>
      <c r="BP17" s="378"/>
      <c r="BQ17" s="577"/>
    </row>
    <row r="18" spans="2:69" ht="9.75" customHeight="1">
      <c r="B18" s="375"/>
      <c r="C18" s="378"/>
      <c r="D18" s="378"/>
      <c r="E18" s="378"/>
      <c r="F18" s="378"/>
      <c r="G18" s="378"/>
      <c r="H18" s="378"/>
      <c r="I18" s="378"/>
      <c r="J18" s="378"/>
      <c r="K18" s="378"/>
      <c r="L18" s="378"/>
      <c r="M18" s="378"/>
      <c r="N18" s="378"/>
      <c r="O18" s="378"/>
      <c r="P18" s="378"/>
      <c r="Q18" s="378"/>
      <c r="R18" s="378"/>
      <c r="S18" s="378"/>
      <c r="T18" s="378"/>
      <c r="U18" s="378"/>
      <c r="V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8"/>
      <c r="BA18" s="378"/>
      <c r="BB18" s="378"/>
      <c r="BC18" s="378"/>
      <c r="BD18" s="378"/>
      <c r="BE18" s="378"/>
      <c r="BF18" s="378"/>
      <c r="BG18" s="378"/>
      <c r="BH18" s="378"/>
      <c r="BI18" s="378"/>
      <c r="BJ18" s="378"/>
      <c r="BK18" s="378"/>
      <c r="BL18" s="378"/>
      <c r="BM18" s="378"/>
      <c r="BN18" s="378"/>
      <c r="BO18" s="378"/>
      <c r="BP18" s="378"/>
      <c r="BQ18" s="577"/>
    </row>
    <row r="19" spans="2:69" ht="55.5" customHeight="1">
      <c r="B19" s="372" t="str">
        <f>names!$A1088</f>
        <v>Wyszczególnienie, 
mln PLN</v>
      </c>
      <c r="C19" s="372" t="str">
        <f>C4</f>
        <v>I kw.
2013</v>
      </c>
      <c r="D19" s="372" t="str">
        <f t="shared" ref="D19:BO19" si="11">D4</f>
        <v>II kw.
2013</v>
      </c>
      <c r="E19" s="372" t="str">
        <f t="shared" si="11"/>
        <v>III kw.
2013</v>
      </c>
      <c r="F19" s="372" t="str">
        <f t="shared" si="11"/>
        <v>IV kw.
2013</v>
      </c>
      <c r="G19" s="372" t="str">
        <f t="shared" si="11"/>
        <v>12 m-cy
2013</v>
      </c>
      <c r="H19" s="372" t="str">
        <f t="shared" si="11"/>
        <v>I kw.
2014</v>
      </c>
      <c r="I19" s="372" t="str">
        <f t="shared" si="11"/>
        <v>I kw.
2014
przed odpisem 1)</v>
      </c>
      <c r="J19" s="372" t="str">
        <f t="shared" si="11"/>
        <v>II kw.
2014</v>
      </c>
      <c r="K19" s="372" t="str">
        <f t="shared" si="11"/>
        <v>II kw.
2014
przed odpisem 1)</v>
      </c>
      <c r="L19" s="372" t="str">
        <f t="shared" si="11"/>
        <v>III kw.
2014</v>
      </c>
      <c r="M19" s="372" t="str">
        <f t="shared" si="11"/>
        <v>III kw.
2014
przed odpisem 1)</v>
      </c>
      <c r="N19" s="372" t="str">
        <f t="shared" si="11"/>
        <v>IV kw.
2014</v>
      </c>
      <c r="O19" s="372" t="str">
        <f t="shared" si="11"/>
        <v>IV kw.
2014
przed odpisem 1)</v>
      </c>
      <c r="P19" s="372" t="str">
        <f t="shared" si="11"/>
        <v>12 m-cy
2014
przed odpisem 1)</v>
      </c>
      <c r="Q19" s="372" t="str">
        <f t="shared" si="11"/>
        <v>I kw.
2015</v>
      </c>
      <c r="R19" s="372" t="str">
        <f t="shared" si="11"/>
        <v>I kw.
2015
przed odpisem 1)</v>
      </c>
      <c r="S19" s="372" t="str">
        <f t="shared" si="11"/>
        <v>II kw.
2015</v>
      </c>
      <c r="T19" s="372" t="str">
        <f t="shared" si="11"/>
        <v>II kw.
2015
przed odpisem 1)</v>
      </c>
      <c r="U19" s="372" t="str">
        <f t="shared" si="11"/>
        <v>III kw.
2015</v>
      </c>
      <c r="V19" s="372" t="str">
        <f t="shared" si="11"/>
        <v>III kw.
2015
przed odpisem 1)</v>
      </c>
      <c r="W19" s="372" t="str">
        <f t="shared" si="11"/>
        <v>IV kw.
2015</v>
      </c>
      <c r="X19" s="372" t="str">
        <f t="shared" si="11"/>
        <v>IV kw.
2015
przed odpisem 1)</v>
      </c>
      <c r="Y19" s="372" t="str">
        <f t="shared" si="11"/>
        <v>12 m-cy
2015</v>
      </c>
      <c r="Z19" s="372" t="str">
        <f t="shared" si="11"/>
        <v>12 m-cy 2015
przed odpisem 1)</v>
      </c>
      <c r="AA19" s="372" t="str">
        <f t="shared" si="11"/>
        <v>I kw.
2016</v>
      </c>
      <c r="AB19" s="372" t="str">
        <f t="shared" si="11"/>
        <v>I kw.
2016
przed odpisem 1)</v>
      </c>
      <c r="AC19" s="372" t="str">
        <f t="shared" si="11"/>
        <v>II kw.
2016</v>
      </c>
      <c r="AD19" s="372" t="str">
        <f t="shared" si="11"/>
        <v>II kw.
2016
przed odpisem 1)</v>
      </c>
      <c r="AE19" s="372" t="str">
        <f t="shared" si="11"/>
        <v>III kw.
2016</v>
      </c>
      <c r="AF19" s="372" t="str">
        <f t="shared" si="11"/>
        <v>III kw.
2016
przed odpisem 1)</v>
      </c>
      <c r="AG19" s="372" t="str">
        <f t="shared" si="11"/>
        <v>IV kw.
2016</v>
      </c>
      <c r="AH19" s="372" t="str">
        <f t="shared" si="11"/>
        <v>IV kw.
2016
przed odpisem 1)</v>
      </c>
      <c r="AI19" s="372" t="str">
        <f t="shared" si="11"/>
        <v>12 m-cy
2016</v>
      </c>
      <c r="AJ19" s="372" t="str">
        <f t="shared" si="11"/>
        <v>12 m-cy
2016
przed odpisem 1)</v>
      </c>
      <c r="AK19" s="372" t="str">
        <f t="shared" si="11"/>
        <v>I kw.
2017</v>
      </c>
      <c r="AL19" s="372" t="str">
        <f t="shared" si="11"/>
        <v>I kw.
2017
przed odpisem 1)</v>
      </c>
      <c r="AM19" s="372" t="str">
        <f t="shared" si="11"/>
        <v>II kw.
2017</v>
      </c>
      <c r="AN19" s="372" t="str">
        <f t="shared" si="11"/>
        <v>II kw.
2017
przed odpisem 1)</v>
      </c>
      <c r="AO19" s="372" t="str">
        <f t="shared" si="11"/>
        <v>III kw.
2017</v>
      </c>
      <c r="AP19" s="372" t="str">
        <f t="shared" si="11"/>
        <v>III kw.
2017
przed odpisem 1)</v>
      </c>
      <c r="AQ19" s="372" t="str">
        <f t="shared" si="11"/>
        <v>IV kw.
2017</v>
      </c>
      <c r="AR19" s="372" t="str">
        <f t="shared" si="11"/>
        <v>IV kw.
2017
przed odpisem 1)</v>
      </c>
      <c r="AS19" s="372" t="str">
        <f t="shared" si="11"/>
        <v>12 m-cy
2017</v>
      </c>
      <c r="AT19" s="372" t="str">
        <f t="shared" si="11"/>
        <v>12 m-cy
2017
przed odpisem 1)</v>
      </c>
      <c r="AU19" s="372" t="str">
        <f t="shared" si="11"/>
        <v>I kw.
2018</v>
      </c>
      <c r="AV19" s="372" t="str">
        <f t="shared" si="11"/>
        <v>I kw.
2018
przed odpisem 1)</v>
      </c>
      <c r="AW19" s="372" t="str">
        <f t="shared" si="11"/>
        <v>II kw.
2018</v>
      </c>
      <c r="AX19" s="372" t="str">
        <f t="shared" si="11"/>
        <v>II kw.
2018
przed odpisem 1)</v>
      </c>
      <c r="AY19" s="372" t="str">
        <f t="shared" si="11"/>
        <v>III kw.
2018</v>
      </c>
      <c r="AZ19" s="372" t="str">
        <f t="shared" si="11"/>
        <v>III kw.
2018
przed odpisem 1)</v>
      </c>
      <c r="BA19" s="372" t="str">
        <f>names!$A1188</f>
        <v>IV kw.
2018</v>
      </c>
      <c r="BB19" s="372" t="str">
        <f>names!$A1189</f>
        <v>IV kw.
2018
przed odpisem   1)</v>
      </c>
      <c r="BC19" s="372" t="str">
        <f>names!$A1190</f>
        <v>12 m-cy
2018</v>
      </c>
      <c r="BD19" s="372" t="str">
        <f>names!$A1191</f>
        <v>12 m-cy
2018
przed odpisem   1)</v>
      </c>
      <c r="BE19" s="372" t="str">
        <f t="shared" si="11"/>
        <v>I kw.
2019</v>
      </c>
      <c r="BF19" s="372" t="str">
        <f t="shared" si="11"/>
        <v>I kw.
2019
przed odpisem 1)</v>
      </c>
      <c r="BG19" s="372" t="str">
        <f t="shared" si="11"/>
        <v>II kw.
2019</v>
      </c>
      <c r="BH19" s="372" t="str">
        <f t="shared" si="11"/>
        <v>II kw.
2019
przed odpisem 1)</v>
      </c>
      <c r="BI19" s="372" t="str">
        <f t="shared" si="11"/>
        <v>III kw.
2019</v>
      </c>
      <c r="BJ19" s="372" t="str">
        <f t="shared" si="11"/>
        <v>III kw.
2019
przed odpisem 1)</v>
      </c>
      <c r="BK19" s="372" t="str">
        <f t="shared" si="11"/>
        <v>IV kw.
2019</v>
      </c>
      <c r="BL19" s="372" t="str">
        <f t="shared" si="11"/>
        <v>IV kw.
2019
przed odpisem    1)</v>
      </c>
      <c r="BM19" s="372" t="str">
        <f t="shared" si="11"/>
        <v>12 m-cy
2019</v>
      </c>
      <c r="BN19" s="372" t="str">
        <f t="shared" si="11"/>
        <v>12 m-cy
2019
przed odpisem    1)</v>
      </c>
      <c r="BO19" s="372" t="str">
        <f t="shared" si="11"/>
        <v>I kw.
2020</v>
      </c>
      <c r="BP19" s="372" t="str">
        <f t="shared" ref="BP19" si="12">BP4</f>
        <v>I kw.
2020
przed odpisem 1)</v>
      </c>
      <c r="BQ19" s="577"/>
    </row>
    <row r="20" spans="2:69">
      <c r="B20" s="373" t="str">
        <f>names!$A1089</f>
        <v>Rafineria</v>
      </c>
      <c r="C20" s="379">
        <v>241</v>
      </c>
      <c r="D20" s="379">
        <v>238</v>
      </c>
      <c r="E20" s="379">
        <v>235</v>
      </c>
      <c r="F20" s="379">
        <v>244</v>
      </c>
      <c r="G20" s="379">
        <f>C20+D20+E20+F20</f>
        <v>958</v>
      </c>
      <c r="H20" s="379">
        <v>227</v>
      </c>
      <c r="I20" s="379">
        <v>227</v>
      </c>
      <c r="J20" s="379">
        <v>232</v>
      </c>
      <c r="K20" s="379">
        <v>232</v>
      </c>
      <c r="L20" s="379">
        <v>146</v>
      </c>
      <c r="M20" s="379">
        <v>146</v>
      </c>
      <c r="N20" s="379">
        <v>150</v>
      </c>
      <c r="O20" s="379">
        <v>150</v>
      </c>
      <c r="P20" s="379">
        <f>I20+K20+M20+O20</f>
        <v>755</v>
      </c>
      <c r="Q20" s="379">
        <v>153</v>
      </c>
      <c r="R20" s="379">
        <v>153</v>
      </c>
      <c r="S20" s="379">
        <v>158</v>
      </c>
      <c r="T20" s="379">
        <v>158</v>
      </c>
      <c r="U20" s="379">
        <v>161</v>
      </c>
      <c r="V20" s="379">
        <v>161</v>
      </c>
      <c r="W20" s="380">
        <f>134+38</f>
        <v>172</v>
      </c>
      <c r="X20" s="380">
        <f>W20</f>
        <v>172</v>
      </c>
      <c r="Y20" s="380">
        <f>Q20+S20+U20+W20</f>
        <v>644</v>
      </c>
      <c r="Z20" s="380">
        <f>R20+T20+V20+X20</f>
        <v>644</v>
      </c>
      <c r="AA20" s="379">
        <f>131+36</f>
        <v>167</v>
      </c>
      <c r="AB20" s="379">
        <f>131+36</f>
        <v>167</v>
      </c>
      <c r="AC20" s="379">
        <f>123+36</f>
        <v>159</v>
      </c>
      <c r="AD20" s="379">
        <f>123+36</f>
        <v>159</v>
      </c>
      <c r="AE20" s="379">
        <f>140+36</f>
        <v>176</v>
      </c>
      <c r="AF20" s="379">
        <f>140+36</f>
        <v>176</v>
      </c>
      <c r="AG20" s="379">
        <f>149+38</f>
        <v>187</v>
      </c>
      <c r="AH20" s="379">
        <f>149+38</f>
        <v>187</v>
      </c>
      <c r="AI20" s="379">
        <f>543+146</f>
        <v>689</v>
      </c>
      <c r="AJ20" s="379">
        <f>543+146</f>
        <v>689</v>
      </c>
      <c r="AK20" s="379">
        <f>142+38</f>
        <v>180</v>
      </c>
      <c r="AL20" s="379">
        <f>142+38</f>
        <v>180</v>
      </c>
      <c r="AM20" s="379">
        <f>144+42</f>
        <v>186</v>
      </c>
      <c r="AN20" s="379">
        <f>144+42</f>
        <v>186</v>
      </c>
      <c r="AO20" s="379">
        <f>149+53</f>
        <v>202</v>
      </c>
      <c r="AP20" s="379">
        <f>149+53</f>
        <v>202</v>
      </c>
      <c r="AQ20" s="379">
        <f>182+57</f>
        <v>239</v>
      </c>
      <c r="AR20" s="379">
        <f>AQ20</f>
        <v>239</v>
      </c>
      <c r="AS20" s="379">
        <f>617+190</f>
        <v>807</v>
      </c>
      <c r="AT20" s="379">
        <f>AS20</f>
        <v>807</v>
      </c>
      <c r="AU20" s="379">
        <f>150+54</f>
        <v>204</v>
      </c>
      <c r="AV20" s="379">
        <f>AU20</f>
        <v>204</v>
      </c>
      <c r="AW20" s="379">
        <f>159+82</f>
        <v>241</v>
      </c>
      <c r="AX20" s="379">
        <f>159+82</f>
        <v>241</v>
      </c>
      <c r="AY20" s="379">
        <f>171+76</f>
        <v>247</v>
      </c>
      <c r="AZ20" s="379">
        <f>171+76</f>
        <v>247</v>
      </c>
      <c r="BA20" s="379">
        <f>182+86</f>
        <v>268</v>
      </c>
      <c r="BB20" s="379">
        <f>182+86</f>
        <v>268</v>
      </c>
      <c r="BC20" s="379">
        <f>662+298</f>
        <v>960</v>
      </c>
      <c r="BD20" s="379">
        <f>662+298</f>
        <v>960</v>
      </c>
      <c r="BE20" s="379">
        <f>273+78</f>
        <v>351</v>
      </c>
      <c r="BF20" s="379">
        <f>273+78</f>
        <v>351</v>
      </c>
      <c r="BG20" s="379">
        <f>285+79</f>
        <v>364</v>
      </c>
      <c r="BH20" s="379">
        <f>285+79</f>
        <v>364</v>
      </c>
      <c r="BI20" s="379">
        <f>282+81</f>
        <v>363</v>
      </c>
      <c r="BJ20" s="379">
        <f>282+81</f>
        <v>363</v>
      </c>
      <c r="BK20" s="379">
        <f>295+86</f>
        <v>381</v>
      </c>
      <c r="BL20" s="379">
        <f>295+86</f>
        <v>381</v>
      </c>
      <c r="BM20" s="379">
        <f>1135+324</f>
        <v>1459</v>
      </c>
      <c r="BN20" s="379">
        <f>1135+324</f>
        <v>1459</v>
      </c>
      <c r="BO20" s="379">
        <f>280+86</f>
        <v>366</v>
      </c>
      <c r="BP20" s="379">
        <f>280+86</f>
        <v>366</v>
      </c>
      <c r="BQ20" s="577"/>
    </row>
    <row r="21" spans="2:69" ht="12" thickBot="1">
      <c r="B21" s="373" t="str">
        <f>names!$A1090</f>
        <v xml:space="preserve">Petrochemia </v>
      </c>
      <c r="C21" s="379">
        <v>167</v>
      </c>
      <c r="D21" s="379">
        <v>167</v>
      </c>
      <c r="E21" s="379">
        <v>168</v>
      </c>
      <c r="F21" s="379">
        <v>173</v>
      </c>
      <c r="G21" s="379">
        <f>C21+D21+E21+F21</f>
        <v>675</v>
      </c>
      <c r="H21" s="379">
        <v>161</v>
      </c>
      <c r="I21" s="379">
        <v>161</v>
      </c>
      <c r="J21" s="379">
        <v>161</v>
      </c>
      <c r="K21" s="379">
        <v>161</v>
      </c>
      <c r="L21" s="379">
        <v>164</v>
      </c>
      <c r="M21" s="379">
        <v>164</v>
      </c>
      <c r="N21" s="379">
        <v>167</v>
      </c>
      <c r="O21" s="379">
        <v>167</v>
      </c>
      <c r="P21" s="379">
        <f>I21+K21+M21+O21</f>
        <v>653</v>
      </c>
      <c r="Q21" s="379">
        <v>157</v>
      </c>
      <c r="R21" s="379">
        <v>157</v>
      </c>
      <c r="S21" s="379">
        <v>156</v>
      </c>
      <c r="T21" s="379">
        <v>156</v>
      </c>
      <c r="U21" s="379">
        <v>157</v>
      </c>
      <c r="V21" s="379">
        <v>157</v>
      </c>
      <c r="W21" s="380">
        <v>155</v>
      </c>
      <c r="X21" s="380">
        <f>W21</f>
        <v>155</v>
      </c>
      <c r="Y21" s="380">
        <f>Q21+S21+U21+W21</f>
        <v>625</v>
      </c>
      <c r="Z21" s="380">
        <f>R21+T21+V21+X21</f>
        <v>625</v>
      </c>
      <c r="AA21" s="379">
        <f>144+13</f>
        <v>157</v>
      </c>
      <c r="AB21" s="379">
        <f>144+13</f>
        <v>157</v>
      </c>
      <c r="AC21" s="379">
        <f>140+13</f>
        <v>153</v>
      </c>
      <c r="AD21" s="379">
        <f>140+13</f>
        <v>153</v>
      </c>
      <c r="AE21" s="379">
        <f>139+13</f>
        <v>152</v>
      </c>
      <c r="AF21" s="379">
        <f>139+13</f>
        <v>152</v>
      </c>
      <c r="AG21" s="379">
        <f>151+15</f>
        <v>166</v>
      </c>
      <c r="AH21" s="379">
        <f>151+15</f>
        <v>166</v>
      </c>
      <c r="AI21" s="379">
        <f>574+54</f>
        <v>628</v>
      </c>
      <c r="AJ21" s="379">
        <f>574+54</f>
        <v>628</v>
      </c>
      <c r="AK21" s="379">
        <f>165+16</f>
        <v>181</v>
      </c>
      <c r="AL21" s="379">
        <f>165+16</f>
        <v>181</v>
      </c>
      <c r="AM21" s="379">
        <f>172+16</f>
        <v>188</v>
      </c>
      <c r="AN21" s="379">
        <f>172+16</f>
        <v>188</v>
      </c>
      <c r="AO21" s="379">
        <f>174+18</f>
        <v>192</v>
      </c>
      <c r="AP21" s="379">
        <f>174+18</f>
        <v>192</v>
      </c>
      <c r="AQ21" s="379">
        <f>180+20</f>
        <v>200</v>
      </c>
      <c r="AR21" s="379">
        <f>AQ21</f>
        <v>200</v>
      </c>
      <c r="AS21" s="379">
        <f>691+70</f>
        <v>761</v>
      </c>
      <c r="AT21" s="379">
        <f>AS21</f>
        <v>761</v>
      </c>
      <c r="AU21" s="379">
        <f>188+20</f>
        <v>208</v>
      </c>
      <c r="AV21" s="379">
        <f>AU21</f>
        <v>208</v>
      </c>
      <c r="AW21" s="379">
        <f>188+22</f>
        <v>210</v>
      </c>
      <c r="AX21" s="379">
        <f>188+22</f>
        <v>210</v>
      </c>
      <c r="AY21" s="379">
        <f>183+22</f>
        <v>205</v>
      </c>
      <c r="AZ21" s="379">
        <f>183+22</f>
        <v>205</v>
      </c>
      <c r="BA21" s="379">
        <f>187+21</f>
        <v>208</v>
      </c>
      <c r="BB21" s="379">
        <f>187+21</f>
        <v>208</v>
      </c>
      <c r="BC21" s="379">
        <f>746+85</f>
        <v>831</v>
      </c>
      <c r="BD21" s="379">
        <f>746+85</f>
        <v>831</v>
      </c>
      <c r="BE21" s="379">
        <f>193+27</f>
        <v>220</v>
      </c>
      <c r="BF21" s="379">
        <f>193+27</f>
        <v>220</v>
      </c>
      <c r="BG21" s="379">
        <f>198+27</f>
        <v>225</v>
      </c>
      <c r="BH21" s="379">
        <f>198+27</f>
        <v>225</v>
      </c>
      <c r="BI21" s="379">
        <f>205+27</f>
        <v>232</v>
      </c>
      <c r="BJ21" s="379">
        <f>205+27</f>
        <v>232</v>
      </c>
      <c r="BK21" s="379">
        <f>213+31</f>
        <v>244</v>
      </c>
      <c r="BL21" s="379">
        <f>213+31</f>
        <v>244</v>
      </c>
      <c r="BM21" s="379">
        <f>809+112</f>
        <v>921</v>
      </c>
      <c r="BN21" s="379">
        <f>809+112</f>
        <v>921</v>
      </c>
      <c r="BO21" s="379">
        <f>227+31</f>
        <v>258</v>
      </c>
      <c r="BP21" s="379">
        <f>227+31</f>
        <v>258</v>
      </c>
      <c r="BQ21" s="577"/>
    </row>
    <row r="22" spans="2:69" ht="12" thickBot="1">
      <c r="B22" s="413" t="str">
        <f>names!$A1091</f>
        <v xml:space="preserve">Downstream </v>
      </c>
      <c r="C22" s="412">
        <f t="shared" ref="C22:AF22" si="13">C20+C21</f>
        <v>408</v>
      </c>
      <c r="D22" s="412">
        <f t="shared" si="13"/>
        <v>405</v>
      </c>
      <c r="E22" s="412">
        <f t="shared" si="13"/>
        <v>403</v>
      </c>
      <c r="F22" s="412">
        <f t="shared" si="13"/>
        <v>417</v>
      </c>
      <c r="G22" s="412">
        <f t="shared" si="13"/>
        <v>1633</v>
      </c>
      <c r="H22" s="412">
        <f t="shared" si="13"/>
        <v>388</v>
      </c>
      <c r="I22" s="412">
        <f t="shared" si="13"/>
        <v>388</v>
      </c>
      <c r="J22" s="412">
        <f t="shared" si="13"/>
        <v>393</v>
      </c>
      <c r="K22" s="412">
        <f t="shared" si="13"/>
        <v>393</v>
      </c>
      <c r="L22" s="412">
        <f t="shared" si="13"/>
        <v>310</v>
      </c>
      <c r="M22" s="412">
        <f t="shared" si="13"/>
        <v>310</v>
      </c>
      <c r="N22" s="412">
        <f t="shared" si="13"/>
        <v>317</v>
      </c>
      <c r="O22" s="412">
        <f t="shared" si="13"/>
        <v>317</v>
      </c>
      <c r="P22" s="412">
        <f t="shared" si="13"/>
        <v>1408</v>
      </c>
      <c r="Q22" s="412">
        <f t="shared" si="13"/>
        <v>310</v>
      </c>
      <c r="R22" s="412">
        <f t="shared" si="13"/>
        <v>310</v>
      </c>
      <c r="S22" s="412">
        <f t="shared" si="13"/>
        <v>314</v>
      </c>
      <c r="T22" s="412">
        <f t="shared" si="13"/>
        <v>314</v>
      </c>
      <c r="U22" s="412">
        <f t="shared" si="13"/>
        <v>318</v>
      </c>
      <c r="V22" s="412">
        <f t="shared" si="13"/>
        <v>318</v>
      </c>
      <c r="W22" s="430">
        <f t="shared" si="13"/>
        <v>327</v>
      </c>
      <c r="X22" s="430">
        <f t="shared" si="13"/>
        <v>327</v>
      </c>
      <c r="Y22" s="412">
        <f t="shared" si="13"/>
        <v>1269</v>
      </c>
      <c r="Z22" s="412">
        <f t="shared" si="13"/>
        <v>1269</v>
      </c>
      <c r="AA22" s="412">
        <f t="shared" si="13"/>
        <v>324</v>
      </c>
      <c r="AB22" s="412">
        <f t="shared" si="13"/>
        <v>324</v>
      </c>
      <c r="AC22" s="412">
        <f t="shared" si="13"/>
        <v>312</v>
      </c>
      <c r="AD22" s="412">
        <f t="shared" si="13"/>
        <v>312</v>
      </c>
      <c r="AE22" s="412">
        <f t="shared" si="13"/>
        <v>328</v>
      </c>
      <c r="AF22" s="412">
        <f t="shared" si="13"/>
        <v>328</v>
      </c>
      <c r="AG22" s="412">
        <f>AG20+AG21</f>
        <v>353</v>
      </c>
      <c r="AH22" s="412">
        <f>AH20+AH21</f>
        <v>353</v>
      </c>
      <c r="AI22" s="412">
        <f>AI20+AI21</f>
        <v>1317</v>
      </c>
      <c r="AJ22" s="412">
        <f>AJ20+AJ21</f>
        <v>1317</v>
      </c>
      <c r="AK22" s="412">
        <f t="shared" ref="AK22:AP22" si="14">AK20+AK21</f>
        <v>361</v>
      </c>
      <c r="AL22" s="412">
        <f>AL20+AL21</f>
        <v>361</v>
      </c>
      <c r="AM22" s="412">
        <f t="shared" si="14"/>
        <v>374</v>
      </c>
      <c r="AN22" s="412">
        <f t="shared" si="14"/>
        <v>374</v>
      </c>
      <c r="AO22" s="412">
        <f t="shared" si="14"/>
        <v>394</v>
      </c>
      <c r="AP22" s="412">
        <f t="shared" si="14"/>
        <v>394</v>
      </c>
      <c r="AQ22" s="412">
        <f t="shared" ref="AQ22:AV22" si="15">AQ20+AQ21</f>
        <v>439</v>
      </c>
      <c r="AR22" s="412">
        <f t="shared" si="15"/>
        <v>439</v>
      </c>
      <c r="AS22" s="412">
        <f t="shared" si="15"/>
        <v>1568</v>
      </c>
      <c r="AT22" s="412">
        <f t="shared" si="15"/>
        <v>1568</v>
      </c>
      <c r="AU22" s="412">
        <f t="shared" si="15"/>
        <v>412</v>
      </c>
      <c r="AV22" s="412">
        <f t="shared" si="15"/>
        <v>412</v>
      </c>
      <c r="AW22" s="412">
        <f t="shared" ref="AW22:BC22" si="16">AW20+AW21</f>
        <v>451</v>
      </c>
      <c r="AX22" s="412">
        <f>AX20+AX21</f>
        <v>451</v>
      </c>
      <c r="AY22" s="412">
        <f t="shared" si="16"/>
        <v>452</v>
      </c>
      <c r="AZ22" s="412">
        <f t="shared" si="16"/>
        <v>452</v>
      </c>
      <c r="BA22" s="412">
        <f t="shared" si="16"/>
        <v>476</v>
      </c>
      <c r="BB22" s="412">
        <f>BB20+BB21</f>
        <v>476</v>
      </c>
      <c r="BC22" s="412">
        <f t="shared" si="16"/>
        <v>1791</v>
      </c>
      <c r="BD22" s="412">
        <f t="shared" ref="BD22:BN22" si="17">BD20+BD21</f>
        <v>1791</v>
      </c>
      <c r="BE22" s="412">
        <f t="shared" si="17"/>
        <v>571</v>
      </c>
      <c r="BF22" s="412">
        <f t="shared" si="17"/>
        <v>571</v>
      </c>
      <c r="BG22" s="412">
        <f t="shared" si="17"/>
        <v>589</v>
      </c>
      <c r="BH22" s="412">
        <f t="shared" si="17"/>
        <v>589</v>
      </c>
      <c r="BI22" s="412">
        <f t="shared" si="17"/>
        <v>595</v>
      </c>
      <c r="BJ22" s="412">
        <f t="shared" si="17"/>
        <v>595</v>
      </c>
      <c r="BK22" s="412">
        <f t="shared" si="17"/>
        <v>625</v>
      </c>
      <c r="BL22" s="412">
        <f t="shared" si="17"/>
        <v>625</v>
      </c>
      <c r="BM22" s="412">
        <f t="shared" si="17"/>
        <v>2380</v>
      </c>
      <c r="BN22" s="412">
        <f t="shared" si="17"/>
        <v>2380</v>
      </c>
      <c r="BO22" s="412">
        <f>BO20+BO21</f>
        <v>624</v>
      </c>
      <c r="BP22" s="412">
        <f>BP20+BP21</f>
        <v>624</v>
      </c>
      <c r="BQ22" s="577"/>
    </row>
    <row r="23" spans="2:69">
      <c r="B23" s="376" t="str">
        <f>names!$A1092</f>
        <v xml:space="preserve">Detal </v>
      </c>
      <c r="C23" s="379">
        <v>86</v>
      </c>
      <c r="D23" s="379">
        <v>87</v>
      </c>
      <c r="E23" s="379">
        <v>90</v>
      </c>
      <c r="F23" s="379">
        <v>88</v>
      </c>
      <c r="G23" s="379">
        <f>C23+D23+E23+F23</f>
        <v>351</v>
      </c>
      <c r="H23" s="379">
        <v>90</v>
      </c>
      <c r="I23" s="379">
        <v>90</v>
      </c>
      <c r="J23" s="379">
        <v>85</v>
      </c>
      <c r="K23" s="379">
        <v>85</v>
      </c>
      <c r="L23" s="378">
        <v>89</v>
      </c>
      <c r="M23" s="378">
        <v>89</v>
      </c>
      <c r="N23" s="379">
        <v>91</v>
      </c>
      <c r="O23" s="379">
        <v>91</v>
      </c>
      <c r="P23" s="379">
        <f>I23+K23+M23+O23</f>
        <v>355</v>
      </c>
      <c r="Q23" s="379">
        <v>91</v>
      </c>
      <c r="R23" s="379">
        <v>91</v>
      </c>
      <c r="S23" s="379">
        <v>90</v>
      </c>
      <c r="T23" s="379">
        <v>90</v>
      </c>
      <c r="U23" s="379">
        <v>92</v>
      </c>
      <c r="V23" s="379">
        <v>92</v>
      </c>
      <c r="W23" s="380">
        <v>95</v>
      </c>
      <c r="X23" s="380">
        <v>95</v>
      </c>
      <c r="Y23" s="380">
        <f t="shared" ref="Y23:Z25" si="18">Q23+S23+U23+W23</f>
        <v>368</v>
      </c>
      <c r="Z23" s="380">
        <f t="shared" si="18"/>
        <v>368</v>
      </c>
      <c r="AA23" s="379">
        <v>97</v>
      </c>
      <c r="AB23" s="379">
        <v>97</v>
      </c>
      <c r="AC23" s="379">
        <v>99</v>
      </c>
      <c r="AD23" s="379">
        <v>99</v>
      </c>
      <c r="AE23" s="379">
        <v>99</v>
      </c>
      <c r="AF23" s="379">
        <v>99</v>
      </c>
      <c r="AG23" s="379">
        <v>97</v>
      </c>
      <c r="AH23" s="379">
        <v>97</v>
      </c>
      <c r="AI23" s="379">
        <v>392</v>
      </c>
      <c r="AJ23" s="379">
        <v>392</v>
      </c>
      <c r="AK23" s="379">
        <v>103</v>
      </c>
      <c r="AL23" s="379">
        <v>103</v>
      </c>
      <c r="AM23" s="379">
        <v>103</v>
      </c>
      <c r="AN23" s="379">
        <v>103</v>
      </c>
      <c r="AO23" s="379">
        <v>104</v>
      </c>
      <c r="AP23" s="379">
        <v>104</v>
      </c>
      <c r="AQ23" s="379">
        <v>112</v>
      </c>
      <c r="AR23" s="379">
        <f>AQ23</f>
        <v>112</v>
      </c>
      <c r="AS23" s="379">
        <v>422</v>
      </c>
      <c r="AT23" s="379">
        <f>AS23</f>
        <v>422</v>
      </c>
      <c r="AU23" s="379">
        <v>114</v>
      </c>
      <c r="AV23" s="379">
        <f>AU23</f>
        <v>114</v>
      </c>
      <c r="AW23" s="379">
        <v>114</v>
      </c>
      <c r="AX23" s="379">
        <v>114</v>
      </c>
      <c r="AY23" s="379">
        <v>115</v>
      </c>
      <c r="AZ23" s="379">
        <v>115</v>
      </c>
      <c r="BA23" s="379">
        <v>118</v>
      </c>
      <c r="BB23" s="379">
        <v>118</v>
      </c>
      <c r="BC23" s="379">
        <v>461</v>
      </c>
      <c r="BD23" s="379">
        <v>461</v>
      </c>
      <c r="BE23" s="379">
        <v>157</v>
      </c>
      <c r="BF23" s="379">
        <v>157</v>
      </c>
      <c r="BG23" s="379">
        <v>153</v>
      </c>
      <c r="BH23" s="379">
        <v>153</v>
      </c>
      <c r="BI23" s="379">
        <v>158</v>
      </c>
      <c r="BJ23" s="379">
        <v>158</v>
      </c>
      <c r="BK23" s="379">
        <v>162</v>
      </c>
      <c r="BL23" s="379">
        <v>162</v>
      </c>
      <c r="BM23" s="379">
        <v>630</v>
      </c>
      <c r="BN23" s="379">
        <v>630</v>
      </c>
      <c r="BO23" s="379">
        <v>167</v>
      </c>
      <c r="BP23" s="379">
        <v>167</v>
      </c>
      <c r="BQ23" s="577"/>
    </row>
    <row r="24" spans="2:69">
      <c r="B24" s="376" t="str">
        <f>names!$A1093</f>
        <v xml:space="preserve">Wydobycie </v>
      </c>
      <c r="C24" s="379">
        <v>0</v>
      </c>
      <c r="D24" s="379">
        <v>1</v>
      </c>
      <c r="E24" s="379">
        <v>1</v>
      </c>
      <c r="F24" s="414">
        <v>4</v>
      </c>
      <c r="G24" s="379">
        <f>C24+D24+E24+F24</f>
        <v>6</v>
      </c>
      <c r="H24" s="379">
        <v>17</v>
      </c>
      <c r="I24" s="379">
        <v>17</v>
      </c>
      <c r="J24" s="379">
        <v>20</v>
      </c>
      <c r="K24" s="379">
        <v>20</v>
      </c>
      <c r="L24" s="378">
        <v>37</v>
      </c>
      <c r="M24" s="378">
        <v>37</v>
      </c>
      <c r="N24" s="379">
        <v>48</v>
      </c>
      <c r="O24" s="379">
        <v>48</v>
      </c>
      <c r="P24" s="379">
        <f>I24+K24+M24+O24</f>
        <v>122</v>
      </c>
      <c r="Q24" s="379">
        <v>34</v>
      </c>
      <c r="R24" s="379">
        <v>34</v>
      </c>
      <c r="S24" s="379">
        <v>39</v>
      </c>
      <c r="T24" s="379">
        <v>39</v>
      </c>
      <c r="U24" s="379">
        <v>36</v>
      </c>
      <c r="V24" s="379">
        <v>36</v>
      </c>
      <c r="W24" s="380">
        <v>64</v>
      </c>
      <c r="X24" s="380">
        <v>64</v>
      </c>
      <c r="Y24" s="380">
        <f t="shared" si="18"/>
        <v>173</v>
      </c>
      <c r="Z24" s="380">
        <f t="shared" si="18"/>
        <v>173</v>
      </c>
      <c r="AA24" s="379">
        <v>71</v>
      </c>
      <c r="AB24" s="379">
        <v>71</v>
      </c>
      <c r="AC24" s="379">
        <v>72</v>
      </c>
      <c r="AD24" s="379">
        <v>72</v>
      </c>
      <c r="AE24" s="379">
        <v>85</v>
      </c>
      <c r="AF24" s="379">
        <v>85</v>
      </c>
      <c r="AG24" s="379">
        <v>73</v>
      </c>
      <c r="AH24" s="379">
        <v>73</v>
      </c>
      <c r="AI24" s="379">
        <v>301</v>
      </c>
      <c r="AJ24" s="379">
        <v>301</v>
      </c>
      <c r="AK24" s="379">
        <v>75</v>
      </c>
      <c r="AL24" s="379">
        <v>75</v>
      </c>
      <c r="AM24" s="379">
        <v>78</v>
      </c>
      <c r="AN24" s="379">
        <v>78</v>
      </c>
      <c r="AO24" s="379">
        <v>89</v>
      </c>
      <c r="AP24" s="379">
        <v>89</v>
      </c>
      <c r="AQ24" s="379">
        <v>76</v>
      </c>
      <c r="AR24" s="379">
        <f>AQ24</f>
        <v>76</v>
      </c>
      <c r="AS24" s="379">
        <v>318</v>
      </c>
      <c r="AT24" s="379">
        <f>AS24</f>
        <v>318</v>
      </c>
      <c r="AU24" s="379">
        <v>75</v>
      </c>
      <c r="AV24" s="379">
        <f>AU24</f>
        <v>75</v>
      </c>
      <c r="AW24" s="379">
        <v>82</v>
      </c>
      <c r="AX24" s="379">
        <v>82</v>
      </c>
      <c r="AY24" s="379">
        <v>80</v>
      </c>
      <c r="AZ24" s="379">
        <v>80</v>
      </c>
      <c r="BA24" s="379">
        <v>71</v>
      </c>
      <c r="BB24" s="379">
        <v>71</v>
      </c>
      <c r="BC24" s="379">
        <v>308</v>
      </c>
      <c r="BD24" s="379">
        <v>308</v>
      </c>
      <c r="BE24" s="379">
        <v>70</v>
      </c>
      <c r="BF24" s="379">
        <v>70</v>
      </c>
      <c r="BG24" s="379">
        <v>66</v>
      </c>
      <c r="BH24" s="379">
        <v>66</v>
      </c>
      <c r="BI24" s="379">
        <v>100</v>
      </c>
      <c r="BJ24" s="379">
        <v>100</v>
      </c>
      <c r="BK24" s="379">
        <v>83</v>
      </c>
      <c r="BL24" s="379">
        <v>83</v>
      </c>
      <c r="BM24" s="379">
        <v>319</v>
      </c>
      <c r="BN24" s="379">
        <v>319</v>
      </c>
      <c r="BO24" s="379">
        <v>94</v>
      </c>
      <c r="BP24" s="379">
        <v>94</v>
      </c>
      <c r="BQ24" s="577"/>
    </row>
    <row r="25" spans="2:69" ht="12" thickBot="1">
      <c r="B25" s="377" t="str">
        <f>names!$A1094</f>
        <v>Corporate functions</v>
      </c>
      <c r="C25" s="383">
        <v>29</v>
      </c>
      <c r="D25" s="383">
        <v>27</v>
      </c>
      <c r="E25" s="383">
        <v>32</v>
      </c>
      <c r="F25" s="415">
        <v>33</v>
      </c>
      <c r="G25" s="383">
        <f>C25+D25+E25+F25</f>
        <v>121</v>
      </c>
      <c r="H25" s="383">
        <v>27</v>
      </c>
      <c r="I25" s="383">
        <v>27</v>
      </c>
      <c r="J25" s="383">
        <v>26</v>
      </c>
      <c r="K25" s="383">
        <v>26</v>
      </c>
      <c r="L25" s="378">
        <v>24</v>
      </c>
      <c r="M25" s="378">
        <v>24</v>
      </c>
      <c r="N25" s="383">
        <v>29</v>
      </c>
      <c r="O25" s="383">
        <v>29</v>
      </c>
      <c r="P25" s="383">
        <f>I25+K25+M25+O25</f>
        <v>106</v>
      </c>
      <c r="Q25" s="383">
        <v>17</v>
      </c>
      <c r="R25" s="383">
        <v>17</v>
      </c>
      <c r="S25" s="383">
        <v>21</v>
      </c>
      <c r="T25" s="383">
        <v>21</v>
      </c>
      <c r="U25" s="383">
        <v>23</v>
      </c>
      <c r="V25" s="383">
        <v>23</v>
      </c>
      <c r="W25" s="384">
        <v>24</v>
      </c>
      <c r="X25" s="384">
        <v>24</v>
      </c>
      <c r="Y25" s="384">
        <f t="shared" si="18"/>
        <v>85</v>
      </c>
      <c r="Z25" s="384">
        <f t="shared" si="18"/>
        <v>85</v>
      </c>
      <c r="AA25" s="383">
        <v>23</v>
      </c>
      <c r="AB25" s="383">
        <v>23</v>
      </c>
      <c r="AC25" s="383">
        <v>25</v>
      </c>
      <c r="AD25" s="383">
        <v>25</v>
      </c>
      <c r="AE25" s="383">
        <v>25</v>
      </c>
      <c r="AF25" s="383">
        <v>25</v>
      </c>
      <c r="AG25" s="383">
        <v>27</v>
      </c>
      <c r="AH25" s="383">
        <v>27</v>
      </c>
      <c r="AI25" s="383">
        <v>100</v>
      </c>
      <c r="AJ25" s="383">
        <v>100</v>
      </c>
      <c r="AK25" s="383">
        <v>23</v>
      </c>
      <c r="AL25" s="383">
        <v>23</v>
      </c>
      <c r="AM25" s="383">
        <v>26</v>
      </c>
      <c r="AN25" s="383">
        <v>26</v>
      </c>
      <c r="AO25" s="383">
        <f>29</f>
        <v>29</v>
      </c>
      <c r="AP25" s="383">
        <f>29</f>
        <v>29</v>
      </c>
      <c r="AQ25" s="383">
        <v>35</v>
      </c>
      <c r="AR25" s="383">
        <f>AQ25</f>
        <v>35</v>
      </c>
      <c r="AS25" s="383">
        <v>113</v>
      </c>
      <c r="AT25" s="383">
        <f>AS25</f>
        <v>113</v>
      </c>
      <c r="AU25" s="383">
        <v>25</v>
      </c>
      <c r="AV25" s="383">
        <f>AU25</f>
        <v>25</v>
      </c>
      <c r="AW25" s="383">
        <v>26</v>
      </c>
      <c r="AX25" s="383">
        <v>26</v>
      </c>
      <c r="AY25" s="383">
        <v>30</v>
      </c>
      <c r="AZ25" s="383">
        <v>30</v>
      </c>
      <c r="BA25" s="383">
        <v>32</v>
      </c>
      <c r="BB25" s="383">
        <v>32</v>
      </c>
      <c r="BC25" s="383">
        <v>113</v>
      </c>
      <c r="BD25" s="383">
        <v>113</v>
      </c>
      <c r="BE25" s="383">
        <v>35</v>
      </c>
      <c r="BF25" s="383">
        <v>35</v>
      </c>
      <c r="BG25" s="383">
        <v>38</v>
      </c>
      <c r="BH25" s="383">
        <v>38</v>
      </c>
      <c r="BI25" s="383">
        <v>40</v>
      </c>
      <c r="BJ25" s="383">
        <v>40</v>
      </c>
      <c r="BK25" s="383">
        <v>55</v>
      </c>
      <c r="BL25" s="383">
        <v>55</v>
      </c>
      <c r="BM25" s="383">
        <v>168</v>
      </c>
      <c r="BN25" s="383">
        <v>168</v>
      </c>
      <c r="BO25" s="383">
        <v>50</v>
      </c>
      <c r="BP25" s="383">
        <v>50</v>
      </c>
      <c r="BQ25" s="577"/>
    </row>
    <row r="26" spans="2:69" ht="12" thickBot="1">
      <c r="B26" s="413" t="str">
        <f>names!$A1095</f>
        <v>Amortyzacja</v>
      </c>
      <c r="C26" s="412">
        <f t="shared" ref="C26:AF26" si="19">SUM(C22:C25)</f>
        <v>523</v>
      </c>
      <c r="D26" s="412">
        <f t="shared" si="19"/>
        <v>520</v>
      </c>
      <c r="E26" s="412">
        <f t="shared" si="19"/>
        <v>526</v>
      </c>
      <c r="F26" s="412">
        <f t="shared" si="19"/>
        <v>542</v>
      </c>
      <c r="G26" s="412">
        <f t="shared" si="19"/>
        <v>2111</v>
      </c>
      <c r="H26" s="412">
        <f t="shared" si="19"/>
        <v>522</v>
      </c>
      <c r="I26" s="412">
        <f t="shared" si="19"/>
        <v>522</v>
      </c>
      <c r="J26" s="412">
        <f t="shared" si="19"/>
        <v>524</v>
      </c>
      <c r="K26" s="412">
        <f t="shared" si="19"/>
        <v>524</v>
      </c>
      <c r="L26" s="412">
        <f t="shared" si="19"/>
        <v>460</v>
      </c>
      <c r="M26" s="412">
        <f t="shared" si="19"/>
        <v>460</v>
      </c>
      <c r="N26" s="412">
        <f t="shared" si="19"/>
        <v>485</v>
      </c>
      <c r="O26" s="412">
        <f t="shared" si="19"/>
        <v>485</v>
      </c>
      <c r="P26" s="412">
        <f t="shared" si="19"/>
        <v>1991</v>
      </c>
      <c r="Q26" s="412">
        <f t="shared" si="19"/>
        <v>452</v>
      </c>
      <c r="R26" s="412">
        <f t="shared" si="19"/>
        <v>452</v>
      </c>
      <c r="S26" s="412">
        <f t="shared" si="19"/>
        <v>464</v>
      </c>
      <c r="T26" s="412">
        <f t="shared" si="19"/>
        <v>464</v>
      </c>
      <c r="U26" s="412">
        <f t="shared" si="19"/>
        <v>469</v>
      </c>
      <c r="V26" s="412">
        <f t="shared" si="19"/>
        <v>469</v>
      </c>
      <c r="W26" s="430">
        <f t="shared" si="19"/>
        <v>510</v>
      </c>
      <c r="X26" s="430">
        <f t="shared" si="19"/>
        <v>510</v>
      </c>
      <c r="Y26" s="412">
        <f t="shared" si="19"/>
        <v>1895</v>
      </c>
      <c r="Z26" s="412">
        <f t="shared" si="19"/>
        <v>1895</v>
      </c>
      <c r="AA26" s="412">
        <f t="shared" si="19"/>
        <v>515</v>
      </c>
      <c r="AB26" s="412">
        <f t="shared" si="19"/>
        <v>515</v>
      </c>
      <c r="AC26" s="412">
        <f t="shared" si="19"/>
        <v>508</v>
      </c>
      <c r="AD26" s="412">
        <f t="shared" si="19"/>
        <v>508</v>
      </c>
      <c r="AE26" s="412">
        <f t="shared" si="19"/>
        <v>537</v>
      </c>
      <c r="AF26" s="412">
        <f t="shared" si="19"/>
        <v>537</v>
      </c>
      <c r="AG26" s="412">
        <f>SUM(AG22:AG25)</f>
        <v>550</v>
      </c>
      <c r="AH26" s="412">
        <f>SUM(AH22:AH25)</f>
        <v>550</v>
      </c>
      <c r="AI26" s="412">
        <f>SUM(AI22:AI25)</f>
        <v>2110</v>
      </c>
      <c r="AJ26" s="412">
        <f>SUM(AJ22:AJ25)</f>
        <v>2110</v>
      </c>
      <c r="AK26" s="412">
        <f t="shared" ref="AK26:AP26" si="20">SUM(AK22:AK25)</f>
        <v>562</v>
      </c>
      <c r="AL26" s="412">
        <f>SUM(AL22:AL25)</f>
        <v>562</v>
      </c>
      <c r="AM26" s="412">
        <f t="shared" si="20"/>
        <v>581</v>
      </c>
      <c r="AN26" s="412">
        <f t="shared" si="20"/>
        <v>581</v>
      </c>
      <c r="AO26" s="412">
        <f t="shared" si="20"/>
        <v>616</v>
      </c>
      <c r="AP26" s="412">
        <f t="shared" si="20"/>
        <v>616</v>
      </c>
      <c r="AQ26" s="412">
        <f t="shared" ref="AQ26:AV26" si="21">SUM(AQ22:AQ25)</f>
        <v>662</v>
      </c>
      <c r="AR26" s="412">
        <f t="shared" si="21"/>
        <v>662</v>
      </c>
      <c r="AS26" s="412">
        <f t="shared" si="21"/>
        <v>2421</v>
      </c>
      <c r="AT26" s="412">
        <f t="shared" si="21"/>
        <v>2421</v>
      </c>
      <c r="AU26" s="412">
        <f t="shared" si="21"/>
        <v>626</v>
      </c>
      <c r="AV26" s="412">
        <f t="shared" si="21"/>
        <v>626</v>
      </c>
      <c r="AW26" s="412">
        <f t="shared" ref="AW26:BC26" si="22">SUM(AW22:AW25)</f>
        <v>673</v>
      </c>
      <c r="AX26" s="412">
        <f>SUM(AX22:AX25)</f>
        <v>673</v>
      </c>
      <c r="AY26" s="412">
        <f t="shared" si="22"/>
        <v>677</v>
      </c>
      <c r="AZ26" s="412">
        <f t="shared" si="22"/>
        <v>677</v>
      </c>
      <c r="BA26" s="412">
        <f t="shared" si="22"/>
        <v>697</v>
      </c>
      <c r="BB26" s="412">
        <f>SUM(BB22:BB25)</f>
        <v>697</v>
      </c>
      <c r="BC26" s="412">
        <f t="shared" si="22"/>
        <v>2673</v>
      </c>
      <c r="BD26" s="412">
        <f t="shared" ref="BD26:BN26" si="23">SUM(BD22:BD25)</f>
        <v>2673</v>
      </c>
      <c r="BE26" s="412">
        <f t="shared" si="23"/>
        <v>833</v>
      </c>
      <c r="BF26" s="412">
        <f t="shared" si="23"/>
        <v>833</v>
      </c>
      <c r="BG26" s="412">
        <f t="shared" si="23"/>
        <v>846</v>
      </c>
      <c r="BH26" s="412">
        <f t="shared" si="23"/>
        <v>846</v>
      </c>
      <c r="BI26" s="412">
        <f t="shared" si="23"/>
        <v>893</v>
      </c>
      <c r="BJ26" s="412">
        <f t="shared" si="23"/>
        <v>893</v>
      </c>
      <c r="BK26" s="412">
        <f t="shared" si="23"/>
        <v>925</v>
      </c>
      <c r="BL26" s="412">
        <f t="shared" si="23"/>
        <v>925</v>
      </c>
      <c r="BM26" s="412">
        <f t="shared" si="23"/>
        <v>3497</v>
      </c>
      <c r="BN26" s="412">
        <f t="shared" si="23"/>
        <v>3497</v>
      </c>
      <c r="BO26" s="412">
        <f>SUM(BO22:BO25)</f>
        <v>935</v>
      </c>
      <c r="BP26" s="412">
        <f>SUM(BP22:BP25)</f>
        <v>935</v>
      </c>
      <c r="BQ26" s="577"/>
    </row>
    <row r="27" spans="2:69">
      <c r="B27" s="425"/>
      <c r="C27" s="426"/>
      <c r="D27" s="426"/>
      <c r="E27" s="426"/>
      <c r="F27" s="426"/>
      <c r="G27" s="426"/>
      <c r="H27" s="426"/>
      <c r="I27" s="426"/>
      <c r="J27" s="426"/>
      <c r="K27" s="426"/>
      <c r="L27" s="426"/>
      <c r="M27" s="426"/>
      <c r="N27" s="426"/>
      <c r="O27" s="426"/>
      <c r="P27" s="426"/>
      <c r="Q27" s="426"/>
      <c r="R27" s="426"/>
      <c r="S27" s="426"/>
      <c r="T27" s="426"/>
      <c r="U27" s="426"/>
      <c r="V27" s="426"/>
      <c r="W27" s="427"/>
      <c r="X27" s="427"/>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6"/>
      <c r="BM27" s="426"/>
      <c r="BN27" s="426"/>
      <c r="BO27" s="426"/>
      <c r="BP27" s="426"/>
      <c r="BQ27" s="577"/>
    </row>
    <row r="28" spans="2:69">
      <c r="B28" s="375"/>
      <c r="C28" s="418"/>
      <c r="D28" s="418"/>
      <c r="E28" s="418"/>
      <c r="F28" s="418"/>
      <c r="G28" s="418"/>
      <c r="H28" s="418"/>
      <c r="I28" s="418"/>
      <c r="J28" s="418"/>
      <c r="K28" s="418"/>
      <c r="L28" s="418"/>
      <c r="M28" s="418"/>
      <c r="N28" s="418"/>
      <c r="O28" s="418"/>
      <c r="P28" s="418"/>
      <c r="Q28" s="418"/>
      <c r="R28" s="418"/>
      <c r="S28" s="418"/>
      <c r="T28" s="418"/>
      <c r="U28" s="418"/>
      <c r="V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c r="BE28" s="418"/>
      <c r="BF28" s="418"/>
      <c r="BG28" s="418"/>
      <c r="BH28" s="418"/>
      <c r="BI28" s="418"/>
      <c r="BJ28" s="418"/>
      <c r="BK28" s="418"/>
      <c r="BL28" s="418"/>
      <c r="BM28" s="418"/>
      <c r="BN28" s="418"/>
      <c r="BO28" s="418"/>
      <c r="BP28" s="418"/>
      <c r="BQ28" s="577"/>
    </row>
    <row r="29" spans="2:69" ht="15.75">
      <c r="B29" s="396" t="str">
        <f>names!$A1098</f>
        <v>EBIT LIFO</v>
      </c>
      <c r="C29" s="418"/>
      <c r="D29" s="418"/>
      <c r="E29" s="418"/>
      <c r="F29" s="418"/>
      <c r="G29" s="418"/>
      <c r="H29" s="418"/>
      <c r="I29" s="418"/>
      <c r="J29" s="418"/>
      <c r="K29" s="418"/>
      <c r="L29" s="418"/>
      <c r="M29" s="418"/>
      <c r="N29" s="418"/>
      <c r="O29" s="418"/>
      <c r="P29" s="418"/>
      <c r="Q29" s="418"/>
      <c r="R29" s="418"/>
      <c r="S29" s="418"/>
      <c r="T29" s="418"/>
      <c r="U29" s="418"/>
      <c r="V29" s="418"/>
      <c r="AA29" s="418"/>
      <c r="AB29" s="418"/>
      <c r="AC29" s="418"/>
      <c r="AD29" s="418"/>
      <c r="AE29" s="418"/>
      <c r="AF29" s="418"/>
      <c r="AG29" s="418"/>
      <c r="AH29" s="418"/>
      <c r="AI29" s="418"/>
      <c r="AJ29" s="418"/>
      <c r="AK29" s="418"/>
      <c r="AL29" s="418"/>
      <c r="AM29" s="418"/>
      <c r="AN29" s="418"/>
      <c r="AO29" s="418"/>
      <c r="AP29" s="418"/>
      <c r="AQ29" s="418"/>
      <c r="AR29" s="418"/>
      <c r="AS29" s="418"/>
      <c r="AT29" s="418"/>
      <c r="AU29" s="418"/>
      <c r="AV29" s="418"/>
      <c r="AW29" s="418"/>
      <c r="AX29" s="418"/>
      <c r="AY29" s="418"/>
      <c r="AZ29" s="418"/>
      <c r="BA29" s="418"/>
      <c r="BB29" s="418"/>
      <c r="BC29" s="418"/>
      <c r="BD29" s="418"/>
      <c r="BE29" s="418"/>
      <c r="BF29" s="418"/>
      <c r="BG29" s="418"/>
      <c r="BH29" s="418"/>
      <c r="BI29" s="418"/>
      <c r="BJ29" s="418"/>
      <c r="BK29" s="418"/>
      <c r="BL29" s="418"/>
      <c r="BM29" s="418"/>
      <c r="BN29" s="418"/>
      <c r="BO29" s="418"/>
      <c r="BP29" s="418"/>
      <c r="BQ29" s="577"/>
    </row>
    <row r="30" spans="2:69" ht="9.75" customHeight="1">
      <c r="B30" s="375"/>
      <c r="C30" s="424"/>
      <c r="D30" s="424"/>
      <c r="E30" s="424"/>
      <c r="F30" s="424"/>
      <c r="G30" s="424"/>
      <c r="H30" s="424"/>
      <c r="I30" s="424"/>
      <c r="J30" s="424"/>
      <c r="K30" s="424"/>
      <c r="L30" s="424"/>
      <c r="M30" s="424"/>
      <c r="N30" s="424"/>
      <c r="O30" s="424"/>
      <c r="P30" s="424"/>
      <c r="Q30" s="424"/>
      <c r="R30" s="424"/>
      <c r="S30" s="424"/>
      <c r="T30" s="424"/>
      <c r="U30" s="424"/>
      <c r="V30" s="424"/>
      <c r="AA30" s="424"/>
      <c r="AB30" s="424"/>
      <c r="AC30" s="424"/>
      <c r="AD30" s="424"/>
      <c r="AE30" s="424"/>
      <c r="AF30" s="424"/>
      <c r="AG30" s="424"/>
      <c r="AH30" s="424"/>
      <c r="AI30" s="424"/>
      <c r="AJ30" s="424"/>
      <c r="AK30" s="424"/>
      <c r="AL30" s="424"/>
      <c r="AM30" s="424"/>
      <c r="AN30" s="424"/>
      <c r="AO30" s="424"/>
      <c r="AP30" s="424"/>
      <c r="AQ30" s="424"/>
      <c r="AR30" s="424"/>
      <c r="AS30" s="424"/>
      <c r="AT30" s="424"/>
      <c r="AU30" s="424"/>
      <c r="AV30" s="424"/>
      <c r="AW30" s="424"/>
      <c r="AX30" s="424"/>
      <c r="AY30" s="424"/>
      <c r="AZ30" s="424"/>
      <c r="BA30" s="424"/>
      <c r="BB30" s="424"/>
      <c r="BC30" s="424"/>
      <c r="BD30" s="424"/>
      <c r="BE30" s="424"/>
      <c r="BF30" s="424"/>
      <c r="BG30" s="424"/>
      <c r="BH30" s="424"/>
      <c r="BI30" s="424"/>
      <c r="BJ30" s="424"/>
      <c r="BK30" s="424"/>
      <c r="BL30" s="424"/>
      <c r="BM30" s="424"/>
      <c r="BN30" s="424"/>
      <c r="BO30" s="424"/>
      <c r="BP30" s="424"/>
      <c r="BQ30" s="577"/>
    </row>
    <row r="31" spans="2:69" ht="55.5" customHeight="1">
      <c r="B31" s="372" t="str">
        <f>names!$A1100</f>
        <v>Wyszczególnienie, 
mln PLN</v>
      </c>
      <c r="C31" s="372" t="str">
        <f>C4</f>
        <v>I kw.
2013</v>
      </c>
      <c r="D31" s="372" t="str">
        <f t="shared" ref="D31:BO31" si="24">D4</f>
        <v>II kw.
2013</v>
      </c>
      <c r="E31" s="372" t="str">
        <f t="shared" si="24"/>
        <v>III kw.
2013</v>
      </c>
      <c r="F31" s="372" t="str">
        <f t="shared" si="24"/>
        <v>IV kw.
2013</v>
      </c>
      <c r="G31" s="372" t="str">
        <f t="shared" si="24"/>
        <v>12 m-cy
2013</v>
      </c>
      <c r="H31" s="372" t="str">
        <f t="shared" si="24"/>
        <v>I kw.
2014</v>
      </c>
      <c r="I31" s="372" t="str">
        <f t="shared" si="24"/>
        <v>I kw.
2014
przed odpisem 1)</v>
      </c>
      <c r="J31" s="372" t="str">
        <f t="shared" si="24"/>
        <v>II kw.
2014</v>
      </c>
      <c r="K31" s="372" t="str">
        <f t="shared" si="24"/>
        <v>II kw.
2014
przed odpisem 1)</v>
      </c>
      <c r="L31" s="372" t="str">
        <f t="shared" si="24"/>
        <v>III kw.
2014</v>
      </c>
      <c r="M31" s="372" t="str">
        <f t="shared" si="24"/>
        <v>III kw.
2014
przed odpisem 1)</v>
      </c>
      <c r="N31" s="372" t="str">
        <f t="shared" si="24"/>
        <v>IV kw.
2014</v>
      </c>
      <c r="O31" s="372" t="str">
        <f t="shared" si="24"/>
        <v>IV kw.
2014
przed odpisem 1)</v>
      </c>
      <c r="P31" s="372" t="str">
        <f t="shared" si="24"/>
        <v>12 m-cy
2014
przed odpisem 1)</v>
      </c>
      <c r="Q31" s="372" t="str">
        <f t="shared" si="24"/>
        <v>I kw.
2015</v>
      </c>
      <c r="R31" s="372" t="str">
        <f t="shared" si="24"/>
        <v>I kw.
2015
przed odpisem 1)</v>
      </c>
      <c r="S31" s="372" t="str">
        <f t="shared" si="24"/>
        <v>II kw.
2015</v>
      </c>
      <c r="T31" s="372" t="str">
        <f t="shared" si="24"/>
        <v>II kw.
2015
przed odpisem 1)</v>
      </c>
      <c r="U31" s="372" t="str">
        <f t="shared" si="24"/>
        <v>III kw.
2015</v>
      </c>
      <c r="V31" s="372" t="str">
        <f t="shared" si="24"/>
        <v>III kw.
2015
przed odpisem 1)</v>
      </c>
      <c r="W31" s="372" t="str">
        <f t="shared" si="24"/>
        <v>IV kw.
2015</v>
      </c>
      <c r="X31" s="372" t="str">
        <f t="shared" si="24"/>
        <v>IV kw.
2015
przed odpisem 1)</v>
      </c>
      <c r="Y31" s="372" t="str">
        <f t="shared" si="24"/>
        <v>12 m-cy
2015</v>
      </c>
      <c r="Z31" s="372" t="str">
        <f>Z4</f>
        <v>12 m-cy 2015
przed odpisem 1)</v>
      </c>
      <c r="AA31" s="372" t="str">
        <f t="shared" si="24"/>
        <v>I kw.
2016</v>
      </c>
      <c r="AB31" s="372" t="str">
        <f t="shared" si="24"/>
        <v>I kw.
2016
przed odpisem 1)</v>
      </c>
      <c r="AC31" s="372" t="str">
        <f t="shared" si="24"/>
        <v>II kw.
2016</v>
      </c>
      <c r="AD31" s="372" t="str">
        <f t="shared" si="24"/>
        <v>II kw.
2016
przed odpisem 1)</v>
      </c>
      <c r="AE31" s="372" t="str">
        <f t="shared" si="24"/>
        <v>III kw.
2016</v>
      </c>
      <c r="AF31" s="372" t="str">
        <f t="shared" si="24"/>
        <v>III kw.
2016
przed odpisem 1)</v>
      </c>
      <c r="AG31" s="372" t="str">
        <f t="shared" si="24"/>
        <v>IV kw.
2016</v>
      </c>
      <c r="AH31" s="372" t="str">
        <f t="shared" si="24"/>
        <v>IV kw.
2016
przed odpisem 1)</v>
      </c>
      <c r="AI31" s="372" t="str">
        <f t="shared" si="24"/>
        <v>12 m-cy
2016</v>
      </c>
      <c r="AJ31" s="372" t="str">
        <f t="shared" si="24"/>
        <v>12 m-cy
2016
przed odpisem 1)</v>
      </c>
      <c r="AK31" s="372" t="str">
        <f t="shared" si="24"/>
        <v>I kw.
2017</v>
      </c>
      <c r="AL31" s="372" t="str">
        <f t="shared" si="24"/>
        <v>I kw.
2017
przed odpisem 1)</v>
      </c>
      <c r="AM31" s="372" t="str">
        <f t="shared" si="24"/>
        <v>II kw.
2017</v>
      </c>
      <c r="AN31" s="372" t="str">
        <f>AN4</f>
        <v>II kw.
2017
przed odpisem 1)</v>
      </c>
      <c r="AO31" s="372" t="str">
        <f t="shared" si="24"/>
        <v>III kw.
2017</v>
      </c>
      <c r="AP31" s="372" t="str">
        <f t="shared" si="24"/>
        <v>III kw.
2017
przed odpisem 1)</v>
      </c>
      <c r="AQ31" s="372" t="str">
        <f t="shared" si="24"/>
        <v>IV kw.
2017</v>
      </c>
      <c r="AR31" s="372" t="str">
        <f t="shared" si="24"/>
        <v>IV kw.
2017
przed odpisem 1)</v>
      </c>
      <c r="AS31" s="372" t="str">
        <f t="shared" si="24"/>
        <v>12 m-cy
2017</v>
      </c>
      <c r="AT31" s="372" t="str">
        <f t="shared" si="24"/>
        <v>12 m-cy
2017
przed odpisem 1)</v>
      </c>
      <c r="AU31" s="372" t="str">
        <f t="shared" si="24"/>
        <v>I kw.
2018</v>
      </c>
      <c r="AV31" s="372" t="str">
        <f t="shared" si="24"/>
        <v>I kw.
2018
przed odpisem 1)</v>
      </c>
      <c r="AW31" s="372" t="str">
        <f t="shared" si="24"/>
        <v>II kw.
2018</v>
      </c>
      <c r="AX31" s="372" t="str">
        <f t="shared" si="24"/>
        <v>II kw.
2018
przed odpisem 1)</v>
      </c>
      <c r="AY31" s="372" t="str">
        <f t="shared" si="24"/>
        <v>III kw.
2018</v>
      </c>
      <c r="AZ31" s="372" t="str">
        <f t="shared" si="24"/>
        <v>III kw.
2018
przed odpisem 1)</v>
      </c>
      <c r="BA31" s="372" t="str">
        <f t="shared" si="24"/>
        <v>IV kw.
2018           2)</v>
      </c>
      <c r="BB31" s="372" t="str">
        <f t="shared" si="24"/>
        <v>IV kw.
2018
przed odpisem       1),2)</v>
      </c>
      <c r="BC31" s="372" t="str">
        <f t="shared" si="24"/>
        <v>12 m-cy
2018                      2)</v>
      </c>
      <c r="BD31" s="372" t="str">
        <f t="shared" si="24"/>
        <v>12 m-cy
2018
przed odpisem           1),2)</v>
      </c>
      <c r="BE31" s="372" t="str">
        <f t="shared" si="24"/>
        <v>I kw.
2019</v>
      </c>
      <c r="BF31" s="372" t="str">
        <f t="shared" si="24"/>
        <v>I kw.
2019
przed odpisem 1)</v>
      </c>
      <c r="BG31" s="372" t="str">
        <f t="shared" si="24"/>
        <v>II kw.
2019</v>
      </c>
      <c r="BH31" s="372" t="str">
        <f t="shared" si="24"/>
        <v>II kw.
2019
przed odpisem 1)</v>
      </c>
      <c r="BI31" s="372" t="str">
        <f t="shared" si="24"/>
        <v>III kw.
2019</v>
      </c>
      <c r="BJ31" s="372" t="str">
        <f t="shared" si="24"/>
        <v>III kw.
2019
przed odpisem 1)</v>
      </c>
      <c r="BK31" s="372" t="str">
        <f>BK4</f>
        <v>IV kw.
2019</v>
      </c>
      <c r="BL31" s="372" t="str">
        <f t="shared" si="24"/>
        <v>IV kw.
2019
przed odpisem    1)</v>
      </c>
      <c r="BM31" s="372" t="str">
        <f t="shared" si="24"/>
        <v>12 m-cy
2019</v>
      </c>
      <c r="BN31" s="372" t="str">
        <f t="shared" si="24"/>
        <v>12 m-cy
2019
przed odpisem    1)</v>
      </c>
      <c r="BO31" s="372" t="str">
        <f t="shared" si="24"/>
        <v>I kw.
2020</v>
      </c>
      <c r="BP31" s="372" t="str">
        <f t="shared" ref="BP31" si="25">BP4</f>
        <v>I kw.
2020
przed odpisem 1)</v>
      </c>
      <c r="BQ31" s="577"/>
    </row>
    <row r="32" spans="2:69">
      <c r="B32" s="373" t="str">
        <f>names!$A1101</f>
        <v>Rafineria</v>
      </c>
      <c r="C32" s="379">
        <f>C5-C20</f>
        <v>35</v>
      </c>
      <c r="D32" s="379">
        <f>D5-D20</f>
        <v>-151</v>
      </c>
      <c r="E32" s="379">
        <f>E5-E20</f>
        <v>-185</v>
      </c>
      <c r="F32" s="379">
        <f>F5-F20</f>
        <v>-191</v>
      </c>
      <c r="G32" s="379">
        <f>C32+D32+E32+F32</f>
        <v>-492</v>
      </c>
      <c r="H32" s="379">
        <f t="shared" ref="H32:O32" si="26">H5-H20</f>
        <v>47</v>
      </c>
      <c r="I32" s="379">
        <f t="shared" si="26"/>
        <v>59</v>
      </c>
      <c r="J32" s="379">
        <f t="shared" si="26"/>
        <v>-4891</v>
      </c>
      <c r="K32" s="379">
        <f t="shared" si="26"/>
        <v>43</v>
      </c>
      <c r="L32" s="379">
        <f t="shared" si="26"/>
        <v>1035</v>
      </c>
      <c r="M32" s="379">
        <f t="shared" si="26"/>
        <v>1045</v>
      </c>
      <c r="N32" s="379">
        <f t="shared" si="26"/>
        <v>96</v>
      </c>
      <c r="O32" s="379">
        <f t="shared" si="26"/>
        <v>138</v>
      </c>
      <c r="P32" s="379">
        <f>I32+K32+M32+O32</f>
        <v>1285</v>
      </c>
      <c r="Q32" s="379">
        <f t="shared" ref="Q32:AF32" si="27">Q5-Q20</f>
        <v>927</v>
      </c>
      <c r="R32" s="379">
        <f t="shared" si="27"/>
        <v>937</v>
      </c>
      <c r="S32" s="379">
        <f t="shared" si="27"/>
        <v>1547</v>
      </c>
      <c r="T32" s="379">
        <f t="shared" si="27"/>
        <v>1552</v>
      </c>
      <c r="U32" s="379">
        <f t="shared" si="27"/>
        <v>573</v>
      </c>
      <c r="V32" s="379">
        <f t="shared" si="27"/>
        <v>586</v>
      </c>
      <c r="W32" s="380">
        <f t="shared" si="27"/>
        <v>1019</v>
      </c>
      <c r="X32" s="380">
        <f t="shared" si="27"/>
        <v>1024</v>
      </c>
      <c r="Y32" s="380">
        <f t="shared" si="27"/>
        <v>4066</v>
      </c>
      <c r="Z32" s="380">
        <f t="shared" si="27"/>
        <v>4099</v>
      </c>
      <c r="AA32" s="379">
        <f t="shared" si="27"/>
        <v>946</v>
      </c>
      <c r="AB32" s="379">
        <f t="shared" si="27"/>
        <v>950</v>
      </c>
      <c r="AC32" s="379">
        <f t="shared" si="27"/>
        <v>1026</v>
      </c>
      <c r="AD32" s="379">
        <f t="shared" si="27"/>
        <v>1027</v>
      </c>
      <c r="AE32" s="379">
        <f t="shared" si="27"/>
        <v>793</v>
      </c>
      <c r="AF32" s="379">
        <f t="shared" si="27"/>
        <v>796</v>
      </c>
      <c r="AG32" s="379">
        <f>AG5-AG20</f>
        <v>1832</v>
      </c>
      <c r="AH32" s="379">
        <f>AH5-AH20</f>
        <v>1587</v>
      </c>
      <c r="AI32" s="379">
        <f>AI5-AI20</f>
        <v>4597</v>
      </c>
      <c r="AJ32" s="379">
        <f>AJ5-AJ20</f>
        <v>4360</v>
      </c>
      <c r="AK32" s="379">
        <f t="shared" ref="AK32:AP32" si="28">AK5-AK20</f>
        <v>1042</v>
      </c>
      <c r="AL32" s="379">
        <f t="shared" si="28"/>
        <v>1043</v>
      </c>
      <c r="AM32" s="379">
        <f t="shared" si="28"/>
        <v>1020</v>
      </c>
      <c r="AN32" s="379">
        <f t="shared" si="28"/>
        <v>1018</v>
      </c>
      <c r="AO32" s="379">
        <f t="shared" si="28"/>
        <v>1457</v>
      </c>
      <c r="AP32" s="379">
        <f t="shared" si="28"/>
        <v>1460</v>
      </c>
      <c r="AQ32" s="379">
        <f t="shared" ref="AQ32:BD32" si="29">AQ5-AQ20</f>
        <v>903</v>
      </c>
      <c r="AR32" s="379">
        <f t="shared" si="29"/>
        <v>916</v>
      </c>
      <c r="AS32" s="379">
        <f t="shared" si="29"/>
        <v>4422</v>
      </c>
      <c r="AT32" s="379">
        <f t="shared" si="29"/>
        <v>4437</v>
      </c>
      <c r="AU32" s="379">
        <f t="shared" si="29"/>
        <v>527</v>
      </c>
      <c r="AV32" s="379">
        <f t="shared" si="29"/>
        <v>529</v>
      </c>
      <c r="AW32" s="379">
        <f t="shared" si="29"/>
        <v>613</v>
      </c>
      <c r="AX32" s="379">
        <f t="shared" si="29"/>
        <v>617</v>
      </c>
      <c r="AY32" s="379">
        <f t="shared" si="29"/>
        <v>1026</v>
      </c>
      <c r="AZ32" s="379">
        <f t="shared" si="29"/>
        <v>1028</v>
      </c>
      <c r="BA32" s="379">
        <f t="shared" si="29"/>
        <v>1418</v>
      </c>
      <c r="BB32" s="379">
        <f t="shared" si="29"/>
        <v>753</v>
      </c>
      <c r="BC32" s="379">
        <f t="shared" si="29"/>
        <v>3394</v>
      </c>
      <c r="BD32" s="379">
        <f t="shared" si="29"/>
        <v>2737</v>
      </c>
      <c r="BE32" s="379">
        <f t="shared" ref="BE32:BN32" si="30">BE5-BE20</f>
        <v>316</v>
      </c>
      <c r="BF32" s="379">
        <f t="shared" si="30"/>
        <v>320</v>
      </c>
      <c r="BG32" s="379">
        <f t="shared" si="30"/>
        <v>844</v>
      </c>
      <c r="BH32" s="379">
        <f t="shared" si="30"/>
        <v>845</v>
      </c>
      <c r="BI32" s="379">
        <f t="shared" si="30"/>
        <v>1226</v>
      </c>
      <c r="BJ32" s="379">
        <f t="shared" si="30"/>
        <v>1226</v>
      </c>
      <c r="BK32" s="379">
        <f t="shared" si="30"/>
        <v>177</v>
      </c>
      <c r="BL32" s="379">
        <f t="shared" si="30"/>
        <v>178</v>
      </c>
      <c r="BM32" s="379">
        <f t="shared" si="30"/>
        <v>2563</v>
      </c>
      <c r="BN32" s="379">
        <f t="shared" si="30"/>
        <v>2569</v>
      </c>
      <c r="BO32" s="379">
        <f>BO5-BO20</f>
        <v>-320</v>
      </c>
      <c r="BP32" s="379">
        <f>BP5-BP20</f>
        <v>-316</v>
      </c>
      <c r="BQ32" s="577"/>
    </row>
    <row r="33" spans="2:70" s="375" customFormat="1">
      <c r="B33" s="374" t="str">
        <f>names!$A1102</f>
        <v>efekt LIFO (Rafineria)</v>
      </c>
      <c r="C33" s="381">
        <v>-69</v>
      </c>
      <c r="D33" s="381">
        <v>-412</v>
      </c>
      <c r="E33" s="381">
        <v>328</v>
      </c>
      <c r="F33" s="381">
        <v>-535</v>
      </c>
      <c r="G33" s="381">
        <f>C33+D33+E33+F33</f>
        <v>-688</v>
      </c>
      <c r="H33" s="381">
        <v>-162</v>
      </c>
      <c r="I33" s="381">
        <v>-162</v>
      </c>
      <c r="J33" s="381">
        <v>-147</v>
      </c>
      <c r="K33" s="381">
        <f>J33</f>
        <v>-147</v>
      </c>
      <c r="L33" s="381">
        <v>-620</v>
      </c>
      <c r="M33" s="381">
        <f>L33</f>
        <v>-620</v>
      </c>
      <c r="N33" s="381">
        <v>-1488</v>
      </c>
      <c r="O33" s="381">
        <f>N33</f>
        <v>-1488</v>
      </c>
      <c r="P33" s="381">
        <f>I33+K33+M33+O33</f>
        <v>-2417</v>
      </c>
      <c r="Q33" s="381">
        <v>-270</v>
      </c>
      <c r="R33" s="381">
        <f>Q33</f>
        <v>-270</v>
      </c>
      <c r="S33" s="381">
        <v>153</v>
      </c>
      <c r="T33" s="381">
        <v>153</v>
      </c>
      <c r="U33" s="381">
        <v>-317</v>
      </c>
      <c r="V33" s="381">
        <f>U33</f>
        <v>-317</v>
      </c>
      <c r="W33" s="381">
        <f t="shared" ref="W33:AJ33" si="31">W6</f>
        <v>-1079</v>
      </c>
      <c r="X33" s="381">
        <f t="shared" si="31"/>
        <v>-1079</v>
      </c>
      <c r="Y33" s="381">
        <f t="shared" si="31"/>
        <v>-1513</v>
      </c>
      <c r="Z33" s="381">
        <f t="shared" si="31"/>
        <v>-1513</v>
      </c>
      <c r="AA33" s="381">
        <f t="shared" si="31"/>
        <v>-898</v>
      </c>
      <c r="AB33" s="381">
        <f t="shared" si="31"/>
        <v>-898</v>
      </c>
      <c r="AC33" s="381">
        <f t="shared" si="31"/>
        <v>394</v>
      </c>
      <c r="AD33" s="381">
        <f t="shared" si="31"/>
        <v>394</v>
      </c>
      <c r="AE33" s="381">
        <f t="shared" si="31"/>
        <v>82</v>
      </c>
      <c r="AF33" s="381">
        <f t="shared" si="31"/>
        <v>82</v>
      </c>
      <c r="AG33" s="381">
        <f t="shared" si="31"/>
        <v>508</v>
      </c>
      <c r="AH33" s="381">
        <f t="shared" si="31"/>
        <v>508</v>
      </c>
      <c r="AI33" s="381">
        <f t="shared" si="31"/>
        <v>86</v>
      </c>
      <c r="AJ33" s="381">
        <f t="shared" si="31"/>
        <v>86</v>
      </c>
      <c r="AK33" s="381">
        <f t="shared" ref="AK33:AT33" si="32">AK6</f>
        <v>513</v>
      </c>
      <c r="AL33" s="381">
        <f t="shared" si="32"/>
        <v>513</v>
      </c>
      <c r="AM33" s="381">
        <f t="shared" si="32"/>
        <v>-304</v>
      </c>
      <c r="AN33" s="381">
        <f t="shared" si="32"/>
        <v>-304</v>
      </c>
      <c r="AO33" s="381">
        <f t="shared" si="32"/>
        <v>-96</v>
      </c>
      <c r="AP33" s="381">
        <f t="shared" si="32"/>
        <v>-96</v>
      </c>
      <c r="AQ33" s="381">
        <f t="shared" si="32"/>
        <v>675</v>
      </c>
      <c r="AR33" s="381">
        <f t="shared" si="32"/>
        <v>675</v>
      </c>
      <c r="AS33" s="381">
        <f t="shared" si="32"/>
        <v>788</v>
      </c>
      <c r="AT33" s="381">
        <f t="shared" si="32"/>
        <v>788</v>
      </c>
      <c r="AU33" s="381">
        <f>AU6</f>
        <v>147</v>
      </c>
      <c r="AV33" s="381">
        <f t="shared" ref="AV33:BD33" si="33">AV6</f>
        <v>147</v>
      </c>
      <c r="AW33" s="381">
        <f t="shared" si="33"/>
        <v>889</v>
      </c>
      <c r="AX33" s="381">
        <f t="shared" si="33"/>
        <v>889</v>
      </c>
      <c r="AY33" s="381">
        <f t="shared" si="33"/>
        <v>553</v>
      </c>
      <c r="AZ33" s="381">
        <f t="shared" si="33"/>
        <v>553</v>
      </c>
      <c r="BA33" s="381">
        <f t="shared" si="33"/>
        <v>-729</v>
      </c>
      <c r="BB33" s="381">
        <f t="shared" si="33"/>
        <v>-729</v>
      </c>
      <c r="BC33" s="381">
        <f t="shared" si="33"/>
        <v>860</v>
      </c>
      <c r="BD33" s="381">
        <f t="shared" si="33"/>
        <v>860</v>
      </c>
      <c r="BE33" s="381">
        <f>BE6</f>
        <v>-194</v>
      </c>
      <c r="BF33" s="381">
        <f t="shared" ref="BF33:BN33" si="34">BF6</f>
        <v>-194</v>
      </c>
      <c r="BG33" s="381">
        <f t="shared" si="34"/>
        <v>228</v>
      </c>
      <c r="BH33" s="381">
        <f t="shared" si="34"/>
        <v>228</v>
      </c>
      <c r="BI33" s="381">
        <f t="shared" si="34"/>
        <v>-362</v>
      </c>
      <c r="BJ33" s="381">
        <f t="shared" si="34"/>
        <v>-362</v>
      </c>
      <c r="BK33" s="381">
        <f t="shared" si="34"/>
        <v>183</v>
      </c>
      <c r="BL33" s="381">
        <f t="shared" si="34"/>
        <v>183</v>
      </c>
      <c r="BM33" s="381">
        <f t="shared" si="34"/>
        <v>-145</v>
      </c>
      <c r="BN33" s="381">
        <f t="shared" si="34"/>
        <v>-145</v>
      </c>
      <c r="BO33" s="381">
        <f>BO6</f>
        <v>-1946</v>
      </c>
      <c r="BP33" s="381">
        <f>BP6</f>
        <v>-1946</v>
      </c>
      <c r="BQ33" s="577"/>
      <c r="BR33" s="371"/>
    </row>
    <row r="34" spans="2:70">
      <c r="B34" s="373" t="str">
        <f>names!$A1103</f>
        <v xml:space="preserve">Petrochemia </v>
      </c>
      <c r="C34" s="379">
        <f>C7-C21</f>
        <v>489</v>
      </c>
      <c r="D34" s="379">
        <f>D7-D21</f>
        <v>346</v>
      </c>
      <c r="E34" s="379">
        <f>E7-E21</f>
        <v>201</v>
      </c>
      <c r="F34" s="379">
        <f>F7-F21</f>
        <v>230</v>
      </c>
      <c r="G34" s="379">
        <f>C34+D34+E34+F34</f>
        <v>1266</v>
      </c>
      <c r="H34" s="379">
        <f t="shared" ref="H34:O34" si="35">H7-H21</f>
        <v>386</v>
      </c>
      <c r="I34" s="379">
        <f t="shared" si="35"/>
        <v>386</v>
      </c>
      <c r="J34" s="379">
        <f t="shared" si="35"/>
        <v>118</v>
      </c>
      <c r="K34" s="379">
        <f t="shared" si="35"/>
        <v>176</v>
      </c>
      <c r="L34" s="379">
        <f t="shared" si="35"/>
        <v>421</v>
      </c>
      <c r="M34" s="379">
        <f t="shared" si="35"/>
        <v>423</v>
      </c>
      <c r="N34" s="379">
        <f t="shared" si="35"/>
        <v>528</v>
      </c>
      <c r="O34" s="379">
        <f t="shared" si="35"/>
        <v>532</v>
      </c>
      <c r="P34" s="379">
        <f>I34+K34+M34+O34</f>
        <v>1517</v>
      </c>
      <c r="Q34" s="379">
        <f t="shared" ref="Q34:AF34" si="36">Q7-Q21</f>
        <v>504</v>
      </c>
      <c r="R34" s="379">
        <f t="shared" si="36"/>
        <v>506</v>
      </c>
      <c r="S34" s="379">
        <f t="shared" si="36"/>
        <v>842</v>
      </c>
      <c r="T34" s="379">
        <f t="shared" si="36"/>
        <v>846</v>
      </c>
      <c r="U34" s="379">
        <f t="shared" si="36"/>
        <v>658</v>
      </c>
      <c r="V34" s="379">
        <f t="shared" si="36"/>
        <v>751</v>
      </c>
      <c r="W34" s="380">
        <f t="shared" si="36"/>
        <v>301</v>
      </c>
      <c r="X34" s="380">
        <f t="shared" si="36"/>
        <v>305</v>
      </c>
      <c r="Y34" s="380">
        <f t="shared" si="36"/>
        <v>2305</v>
      </c>
      <c r="Z34" s="380">
        <f t="shared" si="36"/>
        <v>2408</v>
      </c>
      <c r="AA34" s="379">
        <f t="shared" si="36"/>
        <v>479</v>
      </c>
      <c r="AB34" s="379">
        <f t="shared" si="36"/>
        <v>481</v>
      </c>
      <c r="AC34" s="379">
        <f t="shared" si="36"/>
        <v>950</v>
      </c>
      <c r="AD34" s="379">
        <f t="shared" si="36"/>
        <v>952</v>
      </c>
      <c r="AE34" s="379">
        <f t="shared" si="36"/>
        <v>572</v>
      </c>
      <c r="AF34" s="379">
        <f t="shared" si="36"/>
        <v>574</v>
      </c>
      <c r="AG34" s="379">
        <f>AG7-AG21</f>
        <v>410</v>
      </c>
      <c r="AH34" s="379">
        <f>AH7-AH21</f>
        <v>423</v>
      </c>
      <c r="AI34" s="379">
        <f>AI7-AI21</f>
        <v>2411</v>
      </c>
      <c r="AJ34" s="379">
        <f>AJ7-AJ21</f>
        <v>2430</v>
      </c>
      <c r="AK34" s="379">
        <f t="shared" ref="AK34:AP34" si="37">AK7-AK21</f>
        <v>617</v>
      </c>
      <c r="AL34" s="379">
        <f t="shared" si="37"/>
        <v>617</v>
      </c>
      <c r="AM34" s="379">
        <f t="shared" si="37"/>
        <v>1157</v>
      </c>
      <c r="AN34" s="379">
        <f t="shared" si="37"/>
        <v>1158</v>
      </c>
      <c r="AO34" s="379">
        <f t="shared" si="37"/>
        <v>659</v>
      </c>
      <c r="AP34" s="379">
        <f t="shared" si="37"/>
        <v>659</v>
      </c>
      <c r="AQ34" s="379">
        <f t="shared" ref="AQ34:BD34" si="38">AQ7-AQ21</f>
        <v>278</v>
      </c>
      <c r="AR34" s="379">
        <f t="shared" si="38"/>
        <v>281</v>
      </c>
      <c r="AS34" s="379">
        <f t="shared" si="38"/>
        <v>2711</v>
      </c>
      <c r="AT34" s="379">
        <f t="shared" si="38"/>
        <v>2715</v>
      </c>
      <c r="AU34" s="379">
        <f t="shared" si="38"/>
        <v>572</v>
      </c>
      <c r="AV34" s="379">
        <f t="shared" si="38"/>
        <v>572</v>
      </c>
      <c r="AW34" s="379">
        <f t="shared" si="38"/>
        <v>512</v>
      </c>
      <c r="AX34" s="379">
        <f t="shared" si="38"/>
        <v>512</v>
      </c>
      <c r="AY34" s="379">
        <f t="shared" si="38"/>
        <v>282</v>
      </c>
      <c r="AZ34" s="379">
        <f t="shared" si="38"/>
        <v>282</v>
      </c>
      <c r="BA34" s="379">
        <f t="shared" si="38"/>
        <v>172</v>
      </c>
      <c r="BB34" s="379">
        <f t="shared" si="38"/>
        <v>137</v>
      </c>
      <c r="BC34" s="379">
        <f t="shared" si="38"/>
        <v>1538</v>
      </c>
      <c r="BD34" s="379">
        <f t="shared" si="38"/>
        <v>1503</v>
      </c>
      <c r="BE34" s="379">
        <f t="shared" ref="BE34:BN34" si="39">BE7-BE21</f>
        <v>551</v>
      </c>
      <c r="BF34" s="379">
        <f t="shared" si="39"/>
        <v>558</v>
      </c>
      <c r="BG34" s="379">
        <f t="shared" si="39"/>
        <v>552</v>
      </c>
      <c r="BH34" s="379">
        <f t="shared" si="39"/>
        <v>557</v>
      </c>
      <c r="BI34" s="379">
        <f t="shared" si="39"/>
        <v>572</v>
      </c>
      <c r="BJ34" s="379">
        <f t="shared" si="39"/>
        <v>581</v>
      </c>
      <c r="BK34" s="379">
        <f t="shared" si="39"/>
        <v>-8</v>
      </c>
      <c r="BL34" s="379">
        <f t="shared" si="39"/>
        <v>22</v>
      </c>
      <c r="BM34" s="379">
        <f t="shared" si="39"/>
        <v>1667</v>
      </c>
      <c r="BN34" s="379">
        <f t="shared" si="39"/>
        <v>1718</v>
      </c>
      <c r="BO34" s="379">
        <f>BO7-BO21</f>
        <v>593</v>
      </c>
      <c r="BP34" s="379">
        <f>BP7-BP21</f>
        <v>593</v>
      </c>
      <c r="BQ34" s="577"/>
    </row>
    <row r="35" spans="2:70" s="375" customFormat="1" ht="12" thickBot="1">
      <c r="B35" s="374" t="str">
        <f>names!$A1104</f>
        <v>efekt LIFO (Petrochemia)</v>
      </c>
      <c r="C35" s="381">
        <v>16</v>
      </c>
      <c r="D35" s="381">
        <v>-27</v>
      </c>
      <c r="E35" s="381">
        <v>34</v>
      </c>
      <c r="F35" s="381">
        <v>-3</v>
      </c>
      <c r="G35" s="381">
        <f>C35+D35+E35+F35</f>
        <v>20</v>
      </c>
      <c r="H35" s="381">
        <v>-15</v>
      </c>
      <c r="I35" s="381">
        <f>H35</f>
        <v>-15</v>
      </c>
      <c r="J35" s="381">
        <v>0</v>
      </c>
      <c r="K35" s="381">
        <f>J35</f>
        <v>0</v>
      </c>
      <c r="L35" s="381">
        <v>-36</v>
      </c>
      <c r="M35" s="381">
        <f>L35</f>
        <v>-36</v>
      </c>
      <c r="N35" s="381">
        <v>-105</v>
      </c>
      <c r="O35" s="381">
        <v>-105</v>
      </c>
      <c r="P35" s="381">
        <f>I35+K35+M35+O35</f>
        <v>-156</v>
      </c>
      <c r="Q35" s="381">
        <v>33</v>
      </c>
      <c r="R35" s="381">
        <f>Q35</f>
        <v>33</v>
      </c>
      <c r="S35" s="381">
        <v>16</v>
      </c>
      <c r="T35" s="381">
        <v>16</v>
      </c>
      <c r="U35" s="381">
        <v>-17</v>
      </c>
      <c r="V35" s="381">
        <f>U35</f>
        <v>-17</v>
      </c>
      <c r="W35" s="381">
        <f t="shared" ref="W35:AJ35" si="40">W8</f>
        <v>-29</v>
      </c>
      <c r="X35" s="381">
        <f t="shared" si="40"/>
        <v>-29</v>
      </c>
      <c r="Y35" s="381">
        <f t="shared" si="40"/>
        <v>3</v>
      </c>
      <c r="Z35" s="381">
        <f t="shared" si="40"/>
        <v>3</v>
      </c>
      <c r="AA35" s="381">
        <f t="shared" si="40"/>
        <v>-39</v>
      </c>
      <c r="AB35" s="381">
        <f t="shared" si="40"/>
        <v>-39</v>
      </c>
      <c r="AC35" s="381">
        <f t="shared" si="40"/>
        <v>15</v>
      </c>
      <c r="AD35" s="381">
        <f t="shared" si="40"/>
        <v>15</v>
      </c>
      <c r="AE35" s="381">
        <f t="shared" si="40"/>
        <v>5</v>
      </c>
      <c r="AF35" s="381">
        <f t="shared" si="40"/>
        <v>5</v>
      </c>
      <c r="AG35" s="381">
        <f t="shared" si="40"/>
        <v>18</v>
      </c>
      <c r="AH35" s="381">
        <f t="shared" si="40"/>
        <v>18</v>
      </c>
      <c r="AI35" s="381">
        <f t="shared" si="40"/>
        <v>-1</v>
      </c>
      <c r="AJ35" s="381">
        <f t="shared" si="40"/>
        <v>-1</v>
      </c>
      <c r="AK35" s="381">
        <f t="shared" ref="AK35:AT35" si="41">AK8</f>
        <v>6</v>
      </c>
      <c r="AL35" s="381">
        <f t="shared" si="41"/>
        <v>6</v>
      </c>
      <c r="AM35" s="381">
        <f t="shared" si="41"/>
        <v>-40</v>
      </c>
      <c r="AN35" s="381">
        <f t="shared" si="41"/>
        <v>-40</v>
      </c>
      <c r="AO35" s="381">
        <f t="shared" si="41"/>
        <v>-11</v>
      </c>
      <c r="AP35" s="381">
        <f t="shared" si="41"/>
        <v>-11</v>
      </c>
      <c r="AQ35" s="381">
        <f t="shared" si="41"/>
        <v>56</v>
      </c>
      <c r="AR35" s="381">
        <f t="shared" si="41"/>
        <v>56</v>
      </c>
      <c r="AS35" s="381">
        <f t="shared" si="41"/>
        <v>11</v>
      </c>
      <c r="AT35" s="381">
        <f t="shared" si="41"/>
        <v>11</v>
      </c>
      <c r="AU35" s="381">
        <f>AU8</f>
        <v>-3</v>
      </c>
      <c r="AV35" s="381">
        <f t="shared" ref="AV35:BD35" si="42">AV8</f>
        <v>-3</v>
      </c>
      <c r="AW35" s="381">
        <f t="shared" si="42"/>
        <v>47</v>
      </c>
      <c r="AX35" s="381">
        <f t="shared" si="42"/>
        <v>47</v>
      </c>
      <c r="AY35" s="381">
        <f t="shared" si="42"/>
        <v>26</v>
      </c>
      <c r="AZ35" s="381">
        <f t="shared" si="42"/>
        <v>26</v>
      </c>
      <c r="BA35" s="381">
        <f t="shared" si="42"/>
        <v>-70</v>
      </c>
      <c r="BB35" s="381">
        <f t="shared" si="42"/>
        <v>-70</v>
      </c>
      <c r="BC35" s="381">
        <f t="shared" si="42"/>
        <v>0</v>
      </c>
      <c r="BD35" s="381">
        <f t="shared" si="42"/>
        <v>0</v>
      </c>
      <c r="BE35" s="381">
        <f>BE8</f>
        <v>19</v>
      </c>
      <c r="BF35" s="381">
        <f t="shared" ref="BF35:BN35" si="43">BF8</f>
        <v>19</v>
      </c>
      <c r="BG35" s="381">
        <f t="shared" si="43"/>
        <v>-11</v>
      </c>
      <c r="BH35" s="381">
        <f t="shared" si="43"/>
        <v>-11</v>
      </c>
      <c r="BI35" s="381">
        <f t="shared" si="43"/>
        <v>-32</v>
      </c>
      <c r="BJ35" s="381">
        <f t="shared" si="43"/>
        <v>-32</v>
      </c>
      <c r="BK35" s="381">
        <f t="shared" si="43"/>
        <v>38</v>
      </c>
      <c r="BL35" s="381">
        <f t="shared" si="43"/>
        <v>38</v>
      </c>
      <c r="BM35" s="381">
        <f t="shared" si="43"/>
        <v>14</v>
      </c>
      <c r="BN35" s="381">
        <f t="shared" si="43"/>
        <v>14</v>
      </c>
      <c r="BO35" s="381">
        <f>BO8</f>
        <v>-126</v>
      </c>
      <c r="BP35" s="381">
        <f>BP8</f>
        <v>-126</v>
      </c>
      <c r="BQ35" s="577"/>
      <c r="BR35" s="371"/>
    </row>
    <row r="36" spans="2:70" ht="12" thickBot="1">
      <c r="B36" s="413" t="str">
        <f>names!$A1105</f>
        <v xml:space="preserve">Downstream </v>
      </c>
      <c r="C36" s="412">
        <f>C32+C34</f>
        <v>524</v>
      </c>
      <c r="D36" s="412">
        <f t="shared" ref="D36:AF36" si="44">D32+D34</f>
        <v>195</v>
      </c>
      <c r="E36" s="412">
        <f t="shared" si="44"/>
        <v>16</v>
      </c>
      <c r="F36" s="412">
        <f t="shared" si="44"/>
        <v>39</v>
      </c>
      <c r="G36" s="412">
        <f t="shared" si="44"/>
        <v>774</v>
      </c>
      <c r="H36" s="412">
        <f t="shared" si="44"/>
        <v>433</v>
      </c>
      <c r="I36" s="412">
        <f t="shared" si="44"/>
        <v>445</v>
      </c>
      <c r="J36" s="412">
        <f t="shared" si="44"/>
        <v>-4773</v>
      </c>
      <c r="K36" s="412">
        <f t="shared" si="44"/>
        <v>219</v>
      </c>
      <c r="L36" s="412">
        <f t="shared" si="44"/>
        <v>1456</v>
      </c>
      <c r="M36" s="412">
        <f t="shared" si="44"/>
        <v>1468</v>
      </c>
      <c r="N36" s="412">
        <f t="shared" si="44"/>
        <v>624</v>
      </c>
      <c r="O36" s="412">
        <f t="shared" si="44"/>
        <v>670</v>
      </c>
      <c r="P36" s="412">
        <f t="shared" si="44"/>
        <v>2802</v>
      </c>
      <c r="Q36" s="412">
        <f t="shared" si="44"/>
        <v>1431</v>
      </c>
      <c r="R36" s="412">
        <f t="shared" si="44"/>
        <v>1443</v>
      </c>
      <c r="S36" s="412">
        <f t="shared" si="44"/>
        <v>2389</v>
      </c>
      <c r="T36" s="412">
        <f t="shared" si="44"/>
        <v>2398</v>
      </c>
      <c r="U36" s="412">
        <f t="shared" si="44"/>
        <v>1231</v>
      </c>
      <c r="V36" s="412">
        <f t="shared" si="44"/>
        <v>1337</v>
      </c>
      <c r="W36" s="412">
        <f t="shared" si="44"/>
        <v>1320</v>
      </c>
      <c r="X36" s="412">
        <f t="shared" si="44"/>
        <v>1329</v>
      </c>
      <c r="Y36" s="412">
        <f t="shared" si="44"/>
        <v>6371</v>
      </c>
      <c r="Z36" s="412">
        <f t="shared" si="44"/>
        <v>6507</v>
      </c>
      <c r="AA36" s="412">
        <f t="shared" si="44"/>
        <v>1425</v>
      </c>
      <c r="AB36" s="412">
        <f t="shared" si="44"/>
        <v>1431</v>
      </c>
      <c r="AC36" s="412">
        <f t="shared" si="44"/>
        <v>1976</v>
      </c>
      <c r="AD36" s="412">
        <f t="shared" si="44"/>
        <v>1979</v>
      </c>
      <c r="AE36" s="412">
        <f t="shared" si="44"/>
        <v>1365</v>
      </c>
      <c r="AF36" s="412">
        <f t="shared" si="44"/>
        <v>1370</v>
      </c>
      <c r="AG36" s="412">
        <f>AG32+AG34</f>
        <v>2242</v>
      </c>
      <c r="AH36" s="412">
        <f>AH32+AH34</f>
        <v>2010</v>
      </c>
      <c r="AI36" s="412">
        <f>AI32+AI34</f>
        <v>7008</v>
      </c>
      <c r="AJ36" s="412">
        <f>AJ32+AJ34</f>
        <v>6790</v>
      </c>
      <c r="AK36" s="412">
        <f t="shared" ref="AK36:AP36" si="45">AK32+AK34</f>
        <v>1659</v>
      </c>
      <c r="AL36" s="412">
        <f t="shared" si="45"/>
        <v>1660</v>
      </c>
      <c r="AM36" s="412">
        <f t="shared" si="45"/>
        <v>2177</v>
      </c>
      <c r="AN36" s="412">
        <f t="shared" si="45"/>
        <v>2176</v>
      </c>
      <c r="AO36" s="412">
        <f t="shared" si="45"/>
        <v>2116</v>
      </c>
      <c r="AP36" s="412">
        <f t="shared" si="45"/>
        <v>2119</v>
      </c>
      <c r="AQ36" s="412">
        <f t="shared" ref="AQ36:BD36" si="46">AQ32+AQ34</f>
        <v>1181</v>
      </c>
      <c r="AR36" s="412">
        <f t="shared" si="46"/>
        <v>1197</v>
      </c>
      <c r="AS36" s="412">
        <f t="shared" si="46"/>
        <v>7133</v>
      </c>
      <c r="AT36" s="412">
        <f t="shared" si="46"/>
        <v>7152</v>
      </c>
      <c r="AU36" s="412">
        <f t="shared" si="46"/>
        <v>1099</v>
      </c>
      <c r="AV36" s="412">
        <f t="shared" si="46"/>
        <v>1101</v>
      </c>
      <c r="AW36" s="412">
        <f t="shared" si="46"/>
        <v>1125</v>
      </c>
      <c r="AX36" s="412">
        <f t="shared" si="46"/>
        <v>1129</v>
      </c>
      <c r="AY36" s="412">
        <f t="shared" si="46"/>
        <v>1308</v>
      </c>
      <c r="AZ36" s="412">
        <f t="shared" si="46"/>
        <v>1310</v>
      </c>
      <c r="BA36" s="412">
        <f t="shared" si="46"/>
        <v>1590</v>
      </c>
      <c r="BB36" s="412">
        <f t="shared" si="46"/>
        <v>890</v>
      </c>
      <c r="BC36" s="412">
        <f t="shared" si="46"/>
        <v>4932</v>
      </c>
      <c r="BD36" s="412">
        <f t="shared" si="46"/>
        <v>4240</v>
      </c>
      <c r="BE36" s="412">
        <f t="shared" ref="BE36:BN36" si="47">BE32+BE34</f>
        <v>867</v>
      </c>
      <c r="BF36" s="412">
        <f t="shared" si="47"/>
        <v>878</v>
      </c>
      <c r="BG36" s="412">
        <f t="shared" si="47"/>
        <v>1396</v>
      </c>
      <c r="BH36" s="412">
        <f t="shared" si="47"/>
        <v>1402</v>
      </c>
      <c r="BI36" s="412">
        <f t="shared" si="47"/>
        <v>1798</v>
      </c>
      <c r="BJ36" s="412">
        <f t="shared" si="47"/>
        <v>1807</v>
      </c>
      <c r="BK36" s="412">
        <f t="shared" si="47"/>
        <v>169</v>
      </c>
      <c r="BL36" s="412">
        <f t="shared" si="47"/>
        <v>200</v>
      </c>
      <c r="BM36" s="412">
        <f t="shared" si="47"/>
        <v>4230</v>
      </c>
      <c r="BN36" s="412">
        <f t="shared" si="47"/>
        <v>4287</v>
      </c>
      <c r="BO36" s="412">
        <f>BO32+BO34</f>
        <v>273</v>
      </c>
      <c r="BP36" s="412">
        <f>BP32+BP34</f>
        <v>277</v>
      </c>
      <c r="BQ36" s="577"/>
    </row>
    <row r="37" spans="2:70">
      <c r="B37" s="376" t="str">
        <f>names!$A1106</f>
        <v xml:space="preserve">Detal </v>
      </c>
      <c r="C37" s="379">
        <f t="shared" ref="C37:F39" si="48">C10-C23</f>
        <v>37</v>
      </c>
      <c r="D37" s="379">
        <f t="shared" si="48"/>
        <v>282</v>
      </c>
      <c r="E37" s="379">
        <f t="shared" si="48"/>
        <v>361</v>
      </c>
      <c r="F37" s="379">
        <f t="shared" si="48"/>
        <v>237</v>
      </c>
      <c r="G37" s="379">
        <f>C37+D37+E37+F37</f>
        <v>917</v>
      </c>
      <c r="H37" s="379">
        <f t="shared" ref="H37:O39" si="49">H10-H23</f>
        <v>144</v>
      </c>
      <c r="I37" s="379">
        <f t="shared" si="49"/>
        <v>147</v>
      </c>
      <c r="J37" s="379">
        <f t="shared" si="49"/>
        <v>272</v>
      </c>
      <c r="K37" s="379">
        <f t="shared" si="49"/>
        <v>274</v>
      </c>
      <c r="L37" s="379">
        <f t="shared" si="49"/>
        <v>352</v>
      </c>
      <c r="M37" s="379">
        <f t="shared" si="49"/>
        <v>352</v>
      </c>
      <c r="N37" s="379">
        <f t="shared" si="49"/>
        <v>317</v>
      </c>
      <c r="O37" s="379">
        <f t="shared" si="49"/>
        <v>288</v>
      </c>
      <c r="P37" s="379">
        <f>I37+K37+M37+O37</f>
        <v>1061</v>
      </c>
      <c r="Q37" s="379">
        <f t="shared" ref="Q37:AJ39" si="50">Q10-Q23</f>
        <v>192</v>
      </c>
      <c r="R37" s="379">
        <f t="shared" si="50"/>
        <v>191</v>
      </c>
      <c r="S37" s="379">
        <f t="shared" si="50"/>
        <v>253</v>
      </c>
      <c r="T37" s="379">
        <f t="shared" si="50"/>
        <v>259</v>
      </c>
      <c r="U37" s="379">
        <f t="shared" si="50"/>
        <v>452</v>
      </c>
      <c r="V37" s="379">
        <f t="shared" si="50"/>
        <v>447</v>
      </c>
      <c r="W37" s="379">
        <f t="shared" si="50"/>
        <v>274</v>
      </c>
      <c r="X37" s="379">
        <f t="shared" si="50"/>
        <v>274</v>
      </c>
      <c r="Y37" s="379">
        <f t="shared" si="50"/>
        <v>1171</v>
      </c>
      <c r="Z37" s="379">
        <f t="shared" si="50"/>
        <v>1171</v>
      </c>
      <c r="AA37" s="379">
        <f t="shared" si="50"/>
        <v>203</v>
      </c>
      <c r="AB37" s="379">
        <f t="shared" si="50"/>
        <v>204</v>
      </c>
      <c r="AC37" s="379">
        <f t="shared" si="50"/>
        <v>343</v>
      </c>
      <c r="AD37" s="379">
        <f t="shared" si="50"/>
        <v>342</v>
      </c>
      <c r="AE37" s="379">
        <f t="shared" si="50"/>
        <v>519</v>
      </c>
      <c r="AF37" s="379">
        <f t="shared" si="50"/>
        <v>520</v>
      </c>
      <c r="AG37" s="379">
        <f t="shared" si="50"/>
        <v>337</v>
      </c>
      <c r="AH37" s="379">
        <f t="shared" si="50"/>
        <v>343</v>
      </c>
      <c r="AI37" s="379">
        <f t="shared" si="50"/>
        <v>1402</v>
      </c>
      <c r="AJ37" s="379">
        <f t="shared" si="50"/>
        <v>1409</v>
      </c>
      <c r="AK37" s="379">
        <f t="shared" ref="AK37:AT37" si="51">AK10-AK23</f>
        <v>269</v>
      </c>
      <c r="AL37" s="379">
        <f t="shared" si="51"/>
        <v>269</v>
      </c>
      <c r="AM37" s="379">
        <f t="shared" si="51"/>
        <v>461</v>
      </c>
      <c r="AN37" s="379">
        <f t="shared" si="51"/>
        <v>473</v>
      </c>
      <c r="AO37" s="379">
        <f t="shared" si="51"/>
        <v>505</v>
      </c>
      <c r="AP37" s="379">
        <f t="shared" si="51"/>
        <v>506</v>
      </c>
      <c r="AQ37" s="379">
        <f t="shared" si="51"/>
        <v>381</v>
      </c>
      <c r="AR37" s="379">
        <f t="shared" si="51"/>
        <v>379</v>
      </c>
      <c r="AS37" s="379">
        <f t="shared" si="51"/>
        <v>1616</v>
      </c>
      <c r="AT37" s="379">
        <f t="shared" si="51"/>
        <v>1627</v>
      </c>
      <c r="AU37" s="379">
        <f>AU10-AU23</f>
        <v>357</v>
      </c>
      <c r="AV37" s="379">
        <f t="shared" ref="AV37:BD37" si="52">AV10-AV23</f>
        <v>350</v>
      </c>
      <c r="AW37" s="379">
        <f t="shared" si="52"/>
        <v>563</v>
      </c>
      <c r="AX37" s="379">
        <f t="shared" si="52"/>
        <v>563</v>
      </c>
      <c r="AY37" s="379">
        <f t="shared" si="52"/>
        <v>597</v>
      </c>
      <c r="AZ37" s="379">
        <f t="shared" si="52"/>
        <v>608</v>
      </c>
      <c r="BA37" s="379">
        <f t="shared" si="52"/>
        <v>789</v>
      </c>
      <c r="BB37" s="379">
        <f t="shared" si="52"/>
        <v>799</v>
      </c>
      <c r="BC37" s="379">
        <f t="shared" si="52"/>
        <v>2306</v>
      </c>
      <c r="BD37" s="379">
        <f t="shared" si="52"/>
        <v>2320</v>
      </c>
      <c r="BE37" s="379">
        <f>BE10-BE23</f>
        <v>521</v>
      </c>
      <c r="BF37" s="379">
        <f t="shared" ref="BF37:BN39" si="53">BF10-BF23</f>
        <v>519</v>
      </c>
      <c r="BG37" s="379">
        <f t="shared" si="53"/>
        <v>702</v>
      </c>
      <c r="BH37" s="379">
        <f t="shared" si="53"/>
        <v>706</v>
      </c>
      <c r="BI37" s="379">
        <f t="shared" si="53"/>
        <v>766</v>
      </c>
      <c r="BJ37" s="379">
        <f t="shared" si="53"/>
        <v>767</v>
      </c>
      <c r="BK37" s="379">
        <f t="shared" si="53"/>
        <v>442</v>
      </c>
      <c r="BL37" s="379">
        <f t="shared" si="53"/>
        <v>423</v>
      </c>
      <c r="BM37" s="379">
        <f t="shared" si="53"/>
        <v>2431</v>
      </c>
      <c r="BN37" s="379">
        <f t="shared" si="53"/>
        <v>2415</v>
      </c>
      <c r="BO37" s="379">
        <f t="shared" ref="BO37:BP39" si="54">BO10-BO23</f>
        <v>535</v>
      </c>
      <c r="BP37" s="379">
        <f t="shared" si="54"/>
        <v>539</v>
      </c>
      <c r="BQ37" s="577"/>
    </row>
    <row r="38" spans="2:70">
      <c r="B38" s="376" t="str">
        <f>names!$A1107</f>
        <v xml:space="preserve">Wydobycie </v>
      </c>
      <c r="C38" s="379">
        <f t="shared" si="48"/>
        <v>-6</v>
      </c>
      <c r="D38" s="379">
        <f t="shared" si="48"/>
        <v>-4</v>
      </c>
      <c r="E38" s="379">
        <f t="shared" si="48"/>
        <v>-10</v>
      </c>
      <c r="F38" s="414">
        <f t="shared" si="48"/>
        <v>-18</v>
      </c>
      <c r="G38" s="379">
        <f>C38+D38+E38+F38</f>
        <v>-38</v>
      </c>
      <c r="H38" s="379">
        <f t="shared" si="49"/>
        <v>14</v>
      </c>
      <c r="I38" s="379">
        <f t="shared" si="49"/>
        <v>14</v>
      </c>
      <c r="J38" s="379">
        <f t="shared" si="49"/>
        <v>-1</v>
      </c>
      <c r="K38" s="379">
        <f t="shared" si="49"/>
        <v>7</v>
      </c>
      <c r="L38" s="379">
        <f t="shared" si="49"/>
        <v>15</v>
      </c>
      <c r="M38" s="379">
        <f t="shared" si="49"/>
        <v>15</v>
      </c>
      <c r="N38" s="379">
        <f t="shared" si="49"/>
        <v>-320</v>
      </c>
      <c r="O38" s="379">
        <f t="shared" si="49"/>
        <v>-6</v>
      </c>
      <c r="P38" s="379">
        <f>I38+K38+M38+O38</f>
        <v>30</v>
      </c>
      <c r="Q38" s="379">
        <f t="shared" si="50"/>
        <v>-20</v>
      </c>
      <c r="R38" s="379">
        <f t="shared" si="50"/>
        <v>-20</v>
      </c>
      <c r="S38" s="379">
        <f t="shared" si="50"/>
        <v>-455</v>
      </c>
      <c r="T38" s="379">
        <f t="shared" si="50"/>
        <v>-26</v>
      </c>
      <c r="U38" s="379">
        <f t="shared" si="50"/>
        <v>-26</v>
      </c>
      <c r="V38" s="379">
        <f t="shared" si="50"/>
        <v>-26</v>
      </c>
      <c r="W38" s="379">
        <f t="shared" si="50"/>
        <v>-480</v>
      </c>
      <c r="X38" s="379">
        <f t="shared" si="50"/>
        <v>-57</v>
      </c>
      <c r="Y38" s="379">
        <f t="shared" si="50"/>
        <v>-981</v>
      </c>
      <c r="Z38" s="379">
        <f t="shared" si="50"/>
        <v>-129</v>
      </c>
      <c r="AA38" s="379">
        <f t="shared" si="50"/>
        <v>-44</v>
      </c>
      <c r="AB38" s="379">
        <f t="shared" si="50"/>
        <v>-44</v>
      </c>
      <c r="AC38" s="379">
        <f t="shared" si="50"/>
        <v>-32</v>
      </c>
      <c r="AD38" s="379">
        <f t="shared" si="50"/>
        <v>-30</v>
      </c>
      <c r="AE38" s="379">
        <f t="shared" si="50"/>
        <v>-26</v>
      </c>
      <c r="AF38" s="379">
        <f t="shared" si="50"/>
        <v>-27</v>
      </c>
      <c r="AG38" s="379">
        <f t="shared" si="50"/>
        <v>-17</v>
      </c>
      <c r="AH38" s="379">
        <f t="shared" si="50"/>
        <v>55</v>
      </c>
      <c r="AI38" s="379">
        <f t="shared" si="50"/>
        <v>-119</v>
      </c>
      <c r="AJ38" s="379">
        <f t="shared" si="50"/>
        <v>-46</v>
      </c>
      <c r="AK38" s="379">
        <f t="shared" ref="AK38:AT38" si="55">AK11-AK24</f>
        <v>4</v>
      </c>
      <c r="AL38" s="379">
        <f t="shared" si="55"/>
        <v>5</v>
      </c>
      <c r="AM38" s="379">
        <f t="shared" si="55"/>
        <v>4</v>
      </c>
      <c r="AN38" s="379">
        <f t="shared" si="55"/>
        <v>4</v>
      </c>
      <c r="AO38" s="379">
        <f t="shared" si="55"/>
        <v>-78</v>
      </c>
      <c r="AP38" s="379">
        <f t="shared" si="55"/>
        <v>-36</v>
      </c>
      <c r="AQ38" s="379">
        <f t="shared" si="55"/>
        <v>-95</v>
      </c>
      <c r="AR38" s="379">
        <f t="shared" si="55"/>
        <v>2</v>
      </c>
      <c r="AS38" s="379">
        <f t="shared" si="55"/>
        <v>-165</v>
      </c>
      <c r="AT38" s="379">
        <f t="shared" si="55"/>
        <v>-25</v>
      </c>
      <c r="AU38" s="379">
        <f>AU11-AU24</f>
        <v>-9</v>
      </c>
      <c r="AV38" s="379">
        <f t="shared" ref="AV38:BD38" si="56">AV11-AV24</f>
        <v>-7</v>
      </c>
      <c r="AW38" s="379">
        <f t="shared" si="56"/>
        <v>-10</v>
      </c>
      <c r="AX38" s="379">
        <f t="shared" si="56"/>
        <v>0</v>
      </c>
      <c r="AY38" s="379">
        <f t="shared" si="56"/>
        <v>6</v>
      </c>
      <c r="AZ38" s="379">
        <f t="shared" si="56"/>
        <v>6</v>
      </c>
      <c r="BA38" s="379">
        <f t="shared" si="56"/>
        <v>-8</v>
      </c>
      <c r="BB38" s="379">
        <f t="shared" si="56"/>
        <v>-2</v>
      </c>
      <c r="BC38" s="379">
        <f t="shared" si="56"/>
        <v>-21</v>
      </c>
      <c r="BD38" s="379">
        <f t="shared" si="56"/>
        <v>-3</v>
      </c>
      <c r="BE38" s="379">
        <f>BE11-BE24</f>
        <v>23</v>
      </c>
      <c r="BF38" s="379">
        <f t="shared" ref="BF38:BJ39" si="57">BF11-BF24</f>
        <v>24</v>
      </c>
      <c r="BG38" s="379">
        <f t="shared" si="57"/>
        <v>16</v>
      </c>
      <c r="BH38" s="379">
        <f t="shared" si="57"/>
        <v>17</v>
      </c>
      <c r="BI38" s="379">
        <f t="shared" si="57"/>
        <v>-77</v>
      </c>
      <c r="BJ38" s="379">
        <f t="shared" si="57"/>
        <v>-15</v>
      </c>
      <c r="BK38" s="379">
        <f t="shared" si="53"/>
        <v>-117</v>
      </c>
      <c r="BL38" s="379">
        <f t="shared" si="53"/>
        <v>-50</v>
      </c>
      <c r="BM38" s="379">
        <f t="shared" si="53"/>
        <v>-155</v>
      </c>
      <c r="BN38" s="379">
        <f t="shared" si="53"/>
        <v>-24</v>
      </c>
      <c r="BO38" s="379">
        <f t="shared" si="54"/>
        <v>-371</v>
      </c>
      <c r="BP38" s="379">
        <f t="shared" si="54"/>
        <v>125</v>
      </c>
      <c r="BQ38" s="577"/>
    </row>
    <row r="39" spans="2:70" ht="12" thickBot="1">
      <c r="B39" s="377" t="str">
        <f>names!$A1108</f>
        <v>Corporate functions</v>
      </c>
      <c r="C39" s="383">
        <f t="shared" si="48"/>
        <v>-168</v>
      </c>
      <c r="D39" s="383">
        <f t="shared" si="48"/>
        <v>-174</v>
      </c>
      <c r="E39" s="383">
        <f t="shared" si="48"/>
        <v>-128</v>
      </c>
      <c r="F39" s="415">
        <f t="shared" si="48"/>
        <v>-208</v>
      </c>
      <c r="G39" s="383">
        <f>C39+D39+E39+F39</f>
        <v>-678</v>
      </c>
      <c r="H39" s="383">
        <f t="shared" si="49"/>
        <v>-160</v>
      </c>
      <c r="I39" s="383">
        <f t="shared" si="49"/>
        <v>-160</v>
      </c>
      <c r="J39" s="383">
        <f t="shared" si="49"/>
        <v>-168</v>
      </c>
      <c r="K39" s="383">
        <f t="shared" si="49"/>
        <v>-168</v>
      </c>
      <c r="L39" s="383">
        <f t="shared" si="49"/>
        <v>-166</v>
      </c>
      <c r="M39" s="383">
        <f t="shared" si="49"/>
        <v>-166</v>
      </c>
      <c r="N39" s="383">
        <f t="shared" si="49"/>
        <v>-177</v>
      </c>
      <c r="O39" s="383">
        <f t="shared" si="49"/>
        <v>-177</v>
      </c>
      <c r="P39" s="383">
        <f>I39+K39+M39+O39</f>
        <v>-671</v>
      </c>
      <c r="Q39" s="383">
        <f t="shared" si="50"/>
        <v>-156</v>
      </c>
      <c r="R39" s="383">
        <f t="shared" si="50"/>
        <v>-156</v>
      </c>
      <c r="S39" s="383">
        <f t="shared" si="50"/>
        <v>-193</v>
      </c>
      <c r="T39" s="383">
        <f t="shared" si="50"/>
        <v>-193</v>
      </c>
      <c r="U39" s="383">
        <f t="shared" si="50"/>
        <v>-167</v>
      </c>
      <c r="V39" s="383">
        <f t="shared" si="50"/>
        <v>-167</v>
      </c>
      <c r="W39" s="383">
        <f t="shared" si="50"/>
        <v>-195</v>
      </c>
      <c r="X39" s="383">
        <f t="shared" si="50"/>
        <v>-190</v>
      </c>
      <c r="Y39" s="383">
        <f t="shared" si="50"/>
        <v>-711</v>
      </c>
      <c r="Z39" s="383">
        <f t="shared" si="50"/>
        <v>-706</v>
      </c>
      <c r="AA39" s="383">
        <f t="shared" si="50"/>
        <v>-169</v>
      </c>
      <c r="AB39" s="383">
        <f t="shared" si="50"/>
        <v>-169</v>
      </c>
      <c r="AC39" s="383">
        <f t="shared" si="50"/>
        <v>-205</v>
      </c>
      <c r="AD39" s="383">
        <f t="shared" si="50"/>
        <v>-205</v>
      </c>
      <c r="AE39" s="383">
        <f t="shared" si="50"/>
        <v>-171</v>
      </c>
      <c r="AF39" s="383">
        <f t="shared" si="50"/>
        <v>-174</v>
      </c>
      <c r="AG39" s="383">
        <f t="shared" si="50"/>
        <v>-299</v>
      </c>
      <c r="AH39" s="383">
        <f t="shared" si="50"/>
        <v>-303</v>
      </c>
      <c r="AI39" s="383">
        <f t="shared" si="50"/>
        <v>-844</v>
      </c>
      <c r="AJ39" s="383">
        <f t="shared" si="50"/>
        <v>-851</v>
      </c>
      <c r="AK39" s="383">
        <f t="shared" ref="AK39:AT39" si="58">AK12-AK25</f>
        <v>-175</v>
      </c>
      <c r="AL39" s="383">
        <f t="shared" si="58"/>
        <v>-175</v>
      </c>
      <c r="AM39" s="383">
        <f t="shared" si="58"/>
        <v>-178</v>
      </c>
      <c r="AN39" s="383">
        <f t="shared" si="58"/>
        <v>-176</v>
      </c>
      <c r="AO39" s="383">
        <f t="shared" si="58"/>
        <v>-162</v>
      </c>
      <c r="AP39" s="383">
        <f t="shared" si="58"/>
        <v>-158</v>
      </c>
      <c r="AQ39" s="383">
        <f t="shared" si="58"/>
        <v>-211</v>
      </c>
      <c r="AR39" s="383">
        <f t="shared" si="58"/>
        <v>-218</v>
      </c>
      <c r="AS39" s="383">
        <f t="shared" si="58"/>
        <v>-726</v>
      </c>
      <c r="AT39" s="383">
        <f t="shared" si="58"/>
        <v>-727</v>
      </c>
      <c r="AU39" s="383">
        <f>AU12-AU25</f>
        <v>-177</v>
      </c>
      <c r="AV39" s="383">
        <f t="shared" ref="AV39:BD39" si="59">AV12-AV25</f>
        <v>-177</v>
      </c>
      <c r="AW39" s="383">
        <f t="shared" si="59"/>
        <v>-240</v>
      </c>
      <c r="AX39" s="383">
        <f t="shared" si="59"/>
        <v>-238</v>
      </c>
      <c r="AY39" s="383">
        <f t="shared" si="59"/>
        <v>-199</v>
      </c>
      <c r="AZ39" s="383">
        <f t="shared" si="59"/>
        <v>-196</v>
      </c>
      <c r="BA39" s="383">
        <f t="shared" si="59"/>
        <v>-246</v>
      </c>
      <c r="BB39" s="383">
        <f t="shared" si="59"/>
        <v>-295</v>
      </c>
      <c r="BC39" s="383">
        <f t="shared" si="59"/>
        <v>-862</v>
      </c>
      <c r="BD39" s="383">
        <f t="shared" si="59"/>
        <v>-906</v>
      </c>
      <c r="BE39" s="383">
        <f>BE12-BE25</f>
        <v>-240</v>
      </c>
      <c r="BF39" s="383">
        <f t="shared" si="57"/>
        <v>-240</v>
      </c>
      <c r="BG39" s="383">
        <f t="shared" si="57"/>
        <v>-245</v>
      </c>
      <c r="BH39" s="383">
        <f t="shared" si="57"/>
        <v>-239</v>
      </c>
      <c r="BI39" s="383">
        <f t="shared" si="57"/>
        <v>-286</v>
      </c>
      <c r="BJ39" s="383">
        <f t="shared" si="57"/>
        <v>-285</v>
      </c>
      <c r="BK39" s="383">
        <f t="shared" si="53"/>
        <v>-239</v>
      </c>
      <c r="BL39" s="383">
        <f t="shared" si="53"/>
        <v>-239</v>
      </c>
      <c r="BM39" s="383">
        <f t="shared" si="53"/>
        <v>-1010</v>
      </c>
      <c r="BN39" s="383">
        <f t="shared" si="53"/>
        <v>-1003</v>
      </c>
      <c r="BO39" s="383">
        <f t="shared" si="54"/>
        <v>-269</v>
      </c>
      <c r="BP39" s="383">
        <f t="shared" si="54"/>
        <v>-269</v>
      </c>
      <c r="BQ39" s="577"/>
    </row>
    <row r="40" spans="2:70" ht="12" thickBot="1">
      <c r="B40" s="413" t="str">
        <f>names!$A1109</f>
        <v>EBIT LIFO</v>
      </c>
      <c r="C40" s="412">
        <f t="shared" ref="C40:AF40" si="60">SUM(C36:C39)</f>
        <v>387</v>
      </c>
      <c r="D40" s="412">
        <f t="shared" si="60"/>
        <v>299</v>
      </c>
      <c r="E40" s="412">
        <f t="shared" si="60"/>
        <v>239</v>
      </c>
      <c r="F40" s="412">
        <f t="shared" si="60"/>
        <v>50</v>
      </c>
      <c r="G40" s="412">
        <f t="shared" si="60"/>
        <v>975</v>
      </c>
      <c r="H40" s="412">
        <f t="shared" si="60"/>
        <v>431</v>
      </c>
      <c r="I40" s="412">
        <f t="shared" si="60"/>
        <v>446</v>
      </c>
      <c r="J40" s="412">
        <f t="shared" si="60"/>
        <v>-4670</v>
      </c>
      <c r="K40" s="412">
        <f t="shared" si="60"/>
        <v>332</v>
      </c>
      <c r="L40" s="412">
        <f t="shared" si="60"/>
        <v>1657</v>
      </c>
      <c r="M40" s="412">
        <f t="shared" si="60"/>
        <v>1669</v>
      </c>
      <c r="N40" s="412">
        <f t="shared" si="60"/>
        <v>444</v>
      </c>
      <c r="O40" s="412">
        <f t="shared" si="60"/>
        <v>775</v>
      </c>
      <c r="P40" s="412">
        <f t="shared" si="60"/>
        <v>3222</v>
      </c>
      <c r="Q40" s="412">
        <f t="shared" si="60"/>
        <v>1447</v>
      </c>
      <c r="R40" s="412">
        <f t="shared" si="60"/>
        <v>1458</v>
      </c>
      <c r="S40" s="412">
        <f t="shared" si="60"/>
        <v>1994</v>
      </c>
      <c r="T40" s="412">
        <f t="shared" si="60"/>
        <v>2438</v>
      </c>
      <c r="U40" s="412">
        <f t="shared" si="60"/>
        <v>1490</v>
      </c>
      <c r="V40" s="412">
        <f t="shared" si="60"/>
        <v>1591</v>
      </c>
      <c r="W40" s="412">
        <f t="shared" si="60"/>
        <v>919</v>
      </c>
      <c r="X40" s="412">
        <f t="shared" si="60"/>
        <v>1356</v>
      </c>
      <c r="Y40" s="412">
        <f t="shared" si="60"/>
        <v>5850</v>
      </c>
      <c r="Z40" s="412">
        <f t="shared" si="60"/>
        <v>6843</v>
      </c>
      <c r="AA40" s="412">
        <f t="shared" si="60"/>
        <v>1415</v>
      </c>
      <c r="AB40" s="412">
        <f t="shared" si="60"/>
        <v>1422</v>
      </c>
      <c r="AC40" s="412">
        <f t="shared" si="60"/>
        <v>2082</v>
      </c>
      <c r="AD40" s="412">
        <f t="shared" si="60"/>
        <v>2086</v>
      </c>
      <c r="AE40" s="412">
        <f t="shared" si="60"/>
        <v>1687</v>
      </c>
      <c r="AF40" s="412">
        <f t="shared" si="60"/>
        <v>1689</v>
      </c>
      <c r="AG40" s="412">
        <f>SUM(AG36:AG39)</f>
        <v>2263</v>
      </c>
      <c r="AH40" s="412">
        <f>SUM(AH36:AH39)</f>
        <v>2105</v>
      </c>
      <c r="AI40" s="412">
        <f>SUM(AI36:AI39)</f>
        <v>7447</v>
      </c>
      <c r="AJ40" s="412">
        <f>SUM(AJ36:AJ39)</f>
        <v>7302</v>
      </c>
      <c r="AK40" s="412">
        <f t="shared" ref="AK40:AP40" si="61">SUM(AK36:AK39)</f>
        <v>1757</v>
      </c>
      <c r="AL40" s="412">
        <f t="shared" si="61"/>
        <v>1759</v>
      </c>
      <c r="AM40" s="412">
        <f t="shared" si="61"/>
        <v>2464</v>
      </c>
      <c r="AN40" s="412">
        <f t="shared" si="61"/>
        <v>2477</v>
      </c>
      <c r="AO40" s="412">
        <f t="shared" si="61"/>
        <v>2381</v>
      </c>
      <c r="AP40" s="412">
        <f t="shared" si="61"/>
        <v>2431</v>
      </c>
      <c r="AQ40" s="412">
        <f t="shared" ref="AQ40:BD40" si="62">SUM(AQ36:AQ39)</f>
        <v>1256</v>
      </c>
      <c r="AR40" s="412">
        <f t="shared" si="62"/>
        <v>1360</v>
      </c>
      <c r="AS40" s="412">
        <f t="shared" si="62"/>
        <v>7858</v>
      </c>
      <c r="AT40" s="412">
        <f t="shared" si="62"/>
        <v>8027</v>
      </c>
      <c r="AU40" s="412">
        <f t="shared" si="62"/>
        <v>1270</v>
      </c>
      <c r="AV40" s="412">
        <f t="shared" si="62"/>
        <v>1267</v>
      </c>
      <c r="AW40" s="412">
        <f t="shared" si="62"/>
        <v>1438</v>
      </c>
      <c r="AX40" s="412">
        <f t="shared" si="62"/>
        <v>1454</v>
      </c>
      <c r="AY40" s="412">
        <f t="shared" si="62"/>
        <v>1712</v>
      </c>
      <c r="AZ40" s="412">
        <f t="shared" si="62"/>
        <v>1728</v>
      </c>
      <c r="BA40" s="412">
        <f t="shared" si="62"/>
        <v>2125</v>
      </c>
      <c r="BB40" s="412">
        <f t="shared" si="62"/>
        <v>1392</v>
      </c>
      <c r="BC40" s="412">
        <f t="shared" si="62"/>
        <v>6355</v>
      </c>
      <c r="BD40" s="412">
        <f t="shared" si="62"/>
        <v>5651</v>
      </c>
      <c r="BE40" s="412">
        <f t="shared" ref="BE40:BN40" si="63">SUM(BE36:BE39)</f>
        <v>1171</v>
      </c>
      <c r="BF40" s="412">
        <f t="shared" si="63"/>
        <v>1181</v>
      </c>
      <c r="BG40" s="412">
        <f t="shared" si="63"/>
        <v>1869</v>
      </c>
      <c r="BH40" s="412">
        <f t="shared" si="63"/>
        <v>1886</v>
      </c>
      <c r="BI40" s="412">
        <f t="shared" si="63"/>
        <v>2201</v>
      </c>
      <c r="BJ40" s="412">
        <f t="shared" si="63"/>
        <v>2274</v>
      </c>
      <c r="BK40" s="412">
        <f t="shared" si="63"/>
        <v>255</v>
      </c>
      <c r="BL40" s="412">
        <f t="shared" si="63"/>
        <v>334</v>
      </c>
      <c r="BM40" s="412">
        <f t="shared" si="63"/>
        <v>5496</v>
      </c>
      <c r="BN40" s="412">
        <f t="shared" si="63"/>
        <v>5675</v>
      </c>
      <c r="BO40" s="412">
        <f>SUM(BO36:BO39)</f>
        <v>168</v>
      </c>
      <c r="BP40" s="412">
        <f>SUM(BP36:BP39)</f>
        <v>672</v>
      </c>
      <c r="BQ40" s="577"/>
    </row>
    <row r="41" spans="2:70">
      <c r="B41" s="375" t="str">
        <f>names!$A1110</f>
        <v>1) odpis z tytułu utraty wartości aktywów zgodnie z MSR 36</v>
      </c>
      <c r="C41" s="378"/>
      <c r="D41" s="378"/>
      <c r="E41" s="416"/>
      <c r="F41" s="378"/>
      <c r="G41" s="378"/>
      <c r="H41" s="378"/>
      <c r="I41" s="378"/>
      <c r="J41" s="378"/>
      <c r="K41" s="378"/>
      <c r="L41" s="378"/>
      <c r="M41" s="378"/>
      <c r="N41" s="378"/>
      <c r="O41" s="378"/>
      <c r="P41" s="378"/>
      <c r="Q41" s="378"/>
      <c r="R41" s="378"/>
      <c r="S41" s="378"/>
      <c r="T41" s="378"/>
      <c r="U41" s="378"/>
      <c r="V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577"/>
    </row>
    <row r="42" spans="2:70" ht="24" customHeight="1">
      <c r="B42" s="1002" t="str">
        <f>names!$A1111</f>
        <v>2)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C42" s="987"/>
      <c r="D42" s="987"/>
      <c r="E42" s="987"/>
      <c r="F42" s="987"/>
      <c r="G42" s="987"/>
      <c r="H42" s="987"/>
      <c r="I42" s="987"/>
      <c r="J42" s="987"/>
      <c r="K42" s="987"/>
      <c r="L42" s="987"/>
      <c r="M42" s="987"/>
      <c r="N42" s="987"/>
      <c r="O42" s="987"/>
      <c r="P42" s="987"/>
      <c r="Q42" s="987"/>
      <c r="R42" s="987"/>
      <c r="S42" s="987"/>
      <c r="T42" s="987"/>
      <c r="U42" s="987"/>
      <c r="V42" s="987"/>
      <c r="W42" s="987"/>
      <c r="X42" s="987"/>
      <c r="Y42" s="987"/>
      <c r="Z42" s="987"/>
      <c r="AA42" s="987"/>
      <c r="AB42" s="987"/>
      <c r="AC42" s="987"/>
      <c r="AD42" s="987"/>
      <c r="AE42" s="987"/>
      <c r="AF42" s="987"/>
      <c r="AG42" s="987"/>
      <c r="AH42" s="987"/>
      <c r="AI42" s="987"/>
      <c r="AJ42" s="987"/>
      <c r="AK42" s="987"/>
      <c r="AL42" s="987"/>
      <c r="AM42" s="987"/>
      <c r="AN42" s="987"/>
      <c r="AO42" s="987"/>
      <c r="AP42" s="987"/>
      <c r="AQ42" s="987"/>
      <c r="AR42" s="987"/>
      <c r="AS42" s="987"/>
      <c r="AT42" s="987"/>
      <c r="AU42" s="987"/>
      <c r="AV42" s="987"/>
      <c r="AW42" s="987"/>
      <c r="AX42" s="987"/>
      <c r="AY42" s="987"/>
      <c r="AZ42" s="987"/>
      <c r="BA42" s="987"/>
      <c r="BB42" s="987"/>
      <c r="BC42" s="987"/>
      <c r="BD42" s="987"/>
      <c r="BE42" s="987"/>
      <c r="BF42" s="987"/>
      <c r="BG42" s="987"/>
      <c r="BH42" s="987"/>
      <c r="BI42" s="987"/>
      <c r="BJ42" s="987"/>
      <c r="BK42" s="987"/>
      <c r="BL42" s="987"/>
      <c r="BM42" s="987"/>
      <c r="BN42" s="987"/>
      <c r="BO42" s="987"/>
      <c r="BP42" s="987"/>
      <c r="BQ42" s="577"/>
    </row>
    <row r="43" spans="2:70">
      <c r="C43" s="378"/>
      <c r="D43" s="378"/>
      <c r="E43" s="378"/>
      <c r="F43" s="378"/>
      <c r="G43" s="378"/>
      <c r="H43" s="378"/>
      <c r="I43" s="378"/>
      <c r="J43" s="378"/>
      <c r="K43" s="378"/>
      <c r="L43" s="378"/>
      <c r="M43" s="378"/>
      <c r="N43" s="378"/>
      <c r="O43" s="378"/>
      <c r="P43" s="378"/>
      <c r="Q43" s="378"/>
      <c r="R43" s="378"/>
      <c r="S43" s="378"/>
      <c r="T43" s="378"/>
      <c r="U43" s="378"/>
      <c r="V43" s="378"/>
      <c r="AA43" s="378"/>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8"/>
      <c r="BF43" s="378"/>
      <c r="BG43" s="378"/>
      <c r="BH43" s="378"/>
      <c r="BI43" s="378"/>
      <c r="BJ43" s="378"/>
      <c r="BK43" s="378"/>
      <c r="BL43" s="378"/>
      <c r="BM43" s="378"/>
      <c r="BN43" s="378"/>
      <c r="BO43" s="378"/>
      <c r="BP43" s="378"/>
      <c r="BQ43" s="577"/>
    </row>
    <row r="44" spans="2:70" s="471" customFormat="1" outlineLevel="1">
      <c r="B44" s="417" t="str">
        <f>names!$A1113</f>
        <v>LIFO</v>
      </c>
      <c r="C44" s="472">
        <f t="shared" ref="C44:AF44" si="64">C6+C8</f>
        <v>-53</v>
      </c>
      <c r="D44" s="472">
        <f t="shared" si="64"/>
        <v>-439</v>
      </c>
      <c r="E44" s="472">
        <f t="shared" si="64"/>
        <v>362</v>
      </c>
      <c r="F44" s="472">
        <f t="shared" si="64"/>
        <v>-538</v>
      </c>
      <c r="G44" s="472">
        <f t="shared" si="64"/>
        <v>-668</v>
      </c>
      <c r="H44" s="472">
        <f t="shared" si="64"/>
        <v>-177</v>
      </c>
      <c r="I44" s="472">
        <f t="shared" si="64"/>
        <v>-177</v>
      </c>
      <c r="J44" s="472">
        <f t="shared" si="64"/>
        <v>-147</v>
      </c>
      <c r="K44" s="472">
        <f t="shared" si="64"/>
        <v>-147</v>
      </c>
      <c r="L44" s="472">
        <f t="shared" si="64"/>
        <v>-656</v>
      </c>
      <c r="M44" s="472">
        <f t="shared" si="64"/>
        <v>-656</v>
      </c>
      <c r="N44" s="472">
        <f t="shared" si="64"/>
        <v>-1593</v>
      </c>
      <c r="O44" s="472">
        <f t="shared" si="64"/>
        <v>-1593</v>
      </c>
      <c r="P44" s="472">
        <f t="shared" si="64"/>
        <v>-2573</v>
      </c>
      <c r="Q44" s="472">
        <f t="shared" si="64"/>
        <v>-237</v>
      </c>
      <c r="R44" s="472">
        <f t="shared" si="64"/>
        <v>-237</v>
      </c>
      <c r="S44" s="472">
        <f t="shared" si="64"/>
        <v>169</v>
      </c>
      <c r="T44" s="472">
        <f t="shared" si="64"/>
        <v>169</v>
      </c>
      <c r="U44" s="472">
        <f t="shared" si="64"/>
        <v>-334</v>
      </c>
      <c r="V44" s="472">
        <f t="shared" si="64"/>
        <v>-334</v>
      </c>
      <c r="W44" s="472">
        <f t="shared" si="64"/>
        <v>-1108</v>
      </c>
      <c r="X44" s="472">
        <f t="shared" si="64"/>
        <v>-1108</v>
      </c>
      <c r="Y44" s="472">
        <f t="shared" si="64"/>
        <v>-1510</v>
      </c>
      <c r="Z44" s="472">
        <f t="shared" si="64"/>
        <v>-1510</v>
      </c>
      <c r="AA44" s="472">
        <f t="shared" si="64"/>
        <v>-937</v>
      </c>
      <c r="AB44" s="472">
        <f t="shared" si="64"/>
        <v>-937</v>
      </c>
      <c r="AC44" s="472">
        <f t="shared" si="64"/>
        <v>409</v>
      </c>
      <c r="AD44" s="472">
        <f t="shared" si="64"/>
        <v>409</v>
      </c>
      <c r="AE44" s="472">
        <f t="shared" si="64"/>
        <v>87</v>
      </c>
      <c r="AF44" s="472">
        <f t="shared" si="64"/>
        <v>87</v>
      </c>
      <c r="AG44" s="472">
        <f>AG6+AG8</f>
        <v>526</v>
      </c>
      <c r="AH44" s="472">
        <f>AH6+AH8</f>
        <v>526</v>
      </c>
      <c r="AI44" s="472">
        <f>AI6+AI8</f>
        <v>85</v>
      </c>
      <c r="AJ44" s="472">
        <f>AJ6+AJ8</f>
        <v>85</v>
      </c>
      <c r="AK44" s="472">
        <f t="shared" ref="AK44:AP44" si="65">AK6+AK8</f>
        <v>519</v>
      </c>
      <c r="AL44" s="472">
        <f t="shared" si="65"/>
        <v>519</v>
      </c>
      <c r="AM44" s="472">
        <f t="shared" si="65"/>
        <v>-344</v>
      </c>
      <c r="AN44" s="472">
        <f t="shared" si="65"/>
        <v>-344</v>
      </c>
      <c r="AO44" s="472">
        <f t="shared" si="65"/>
        <v>-107</v>
      </c>
      <c r="AP44" s="472">
        <f t="shared" si="65"/>
        <v>-107</v>
      </c>
      <c r="AQ44" s="472">
        <f t="shared" ref="AQ44:BD44" si="66">AQ6+AQ8</f>
        <v>731</v>
      </c>
      <c r="AR44" s="472">
        <f t="shared" si="66"/>
        <v>731</v>
      </c>
      <c r="AS44" s="472">
        <f t="shared" si="66"/>
        <v>799</v>
      </c>
      <c r="AT44" s="472">
        <f t="shared" si="66"/>
        <v>799</v>
      </c>
      <c r="AU44" s="472">
        <f t="shared" si="66"/>
        <v>144</v>
      </c>
      <c r="AV44" s="472">
        <f t="shared" si="66"/>
        <v>144</v>
      </c>
      <c r="AW44" s="472">
        <f t="shared" si="66"/>
        <v>936</v>
      </c>
      <c r="AX44" s="472">
        <f t="shared" si="66"/>
        <v>936</v>
      </c>
      <c r="AY44" s="472">
        <f t="shared" si="66"/>
        <v>579</v>
      </c>
      <c r="AZ44" s="472">
        <f t="shared" si="66"/>
        <v>579</v>
      </c>
      <c r="BA44" s="472">
        <f t="shared" si="66"/>
        <v>-799</v>
      </c>
      <c r="BB44" s="472">
        <f t="shared" si="66"/>
        <v>-799</v>
      </c>
      <c r="BC44" s="472">
        <f t="shared" si="66"/>
        <v>860</v>
      </c>
      <c r="BD44" s="472">
        <f t="shared" si="66"/>
        <v>860</v>
      </c>
      <c r="BE44" s="472">
        <f t="shared" ref="BE44:BN44" si="67">BE6+BE8</f>
        <v>-175</v>
      </c>
      <c r="BF44" s="472">
        <f t="shared" si="67"/>
        <v>-175</v>
      </c>
      <c r="BG44" s="472">
        <f t="shared" si="67"/>
        <v>217</v>
      </c>
      <c r="BH44" s="472">
        <f t="shared" si="67"/>
        <v>217</v>
      </c>
      <c r="BI44" s="472">
        <f t="shared" si="67"/>
        <v>-394</v>
      </c>
      <c r="BJ44" s="472">
        <f t="shared" si="67"/>
        <v>-394</v>
      </c>
      <c r="BK44" s="472">
        <f t="shared" si="67"/>
        <v>221</v>
      </c>
      <c r="BL44" s="472">
        <f t="shared" si="67"/>
        <v>221</v>
      </c>
      <c r="BM44" s="472">
        <f t="shared" si="67"/>
        <v>-131</v>
      </c>
      <c r="BN44" s="472">
        <f t="shared" si="67"/>
        <v>-131</v>
      </c>
      <c r="BO44" s="472">
        <f>BO6+BO8</f>
        <v>-2072</v>
      </c>
      <c r="BP44" s="472">
        <f>BP6+BP8</f>
        <v>-2072</v>
      </c>
      <c r="BQ44" s="577"/>
      <c r="BR44" s="371"/>
    </row>
    <row r="45" spans="2:70" outlineLevel="1">
      <c r="B45" s="419"/>
      <c r="C45" s="418"/>
      <c r="D45" s="418"/>
      <c r="E45" s="418"/>
      <c r="F45" s="418"/>
      <c r="G45" s="418"/>
      <c r="H45" s="418"/>
      <c r="I45" s="418"/>
      <c r="J45" s="418"/>
      <c r="K45" s="418"/>
      <c r="L45" s="418"/>
      <c r="M45" s="418"/>
      <c r="N45" s="418"/>
      <c r="O45" s="418"/>
      <c r="P45" s="418"/>
      <c r="Q45" s="418"/>
      <c r="R45" s="418"/>
      <c r="S45" s="418"/>
      <c r="T45" s="418"/>
      <c r="U45" s="418"/>
      <c r="V45" s="418"/>
      <c r="W45" s="419"/>
      <c r="X45" s="419"/>
      <c r="AA45" s="418"/>
      <c r="AB45" s="418"/>
      <c r="AC45" s="418"/>
      <c r="AD45" s="418"/>
      <c r="AE45" s="418"/>
      <c r="AF45" s="418"/>
      <c r="AG45" s="418"/>
      <c r="AH45" s="418"/>
      <c r="AI45" s="418"/>
      <c r="AJ45" s="418"/>
      <c r="AK45" s="418"/>
      <c r="AL45" s="418"/>
      <c r="AM45" s="418"/>
      <c r="AN45" s="418"/>
      <c r="AO45" s="418"/>
      <c r="AP45" s="418"/>
      <c r="AQ45" s="418"/>
      <c r="AR45" s="418"/>
      <c r="AS45" s="418"/>
      <c r="AT45" s="418"/>
      <c r="AU45" s="418"/>
      <c r="AV45" s="418"/>
      <c r="AW45" s="418"/>
      <c r="AX45" s="418"/>
      <c r="AY45" s="418"/>
      <c r="AZ45" s="418"/>
      <c r="BA45" s="418"/>
      <c r="BB45" s="418"/>
      <c r="BC45" s="418"/>
      <c r="BD45" s="418"/>
      <c r="BE45" s="418"/>
      <c r="BF45" s="418"/>
      <c r="BG45" s="418"/>
      <c r="BH45" s="418"/>
      <c r="BI45" s="418"/>
      <c r="BJ45" s="418"/>
      <c r="BK45" s="418"/>
      <c r="BL45" s="418"/>
      <c r="BM45" s="418"/>
      <c r="BN45" s="418"/>
      <c r="BO45" s="418"/>
      <c r="BP45" s="418"/>
      <c r="BQ45" s="577"/>
    </row>
    <row r="46" spans="2:70" outlineLevel="1">
      <c r="B46" s="417" t="str">
        <f>names!$A1115</f>
        <v>Odpisy</v>
      </c>
      <c r="C46" s="417"/>
      <c r="D46" s="417"/>
      <c r="E46" s="417"/>
      <c r="F46" s="417"/>
      <c r="G46" s="417"/>
      <c r="H46" s="417"/>
      <c r="I46" s="417"/>
      <c r="J46" s="417"/>
      <c r="K46" s="417"/>
      <c r="L46" s="417"/>
      <c r="M46" s="417"/>
      <c r="N46" s="417"/>
      <c r="O46" s="417"/>
      <c r="P46" s="417"/>
      <c r="Q46" s="417"/>
      <c r="R46" s="417"/>
      <c r="S46" s="417"/>
      <c r="T46" s="417"/>
      <c r="U46" s="417"/>
      <c r="V46" s="417"/>
      <c r="W46" s="417"/>
      <c r="X46" s="417"/>
      <c r="Y46" s="420"/>
      <c r="Z46" s="420"/>
      <c r="AA46" s="417"/>
      <c r="AB46" s="417"/>
      <c r="AC46" s="417"/>
      <c r="AD46" s="417"/>
      <c r="AE46" s="417"/>
      <c r="AF46" s="417"/>
      <c r="AG46" s="417"/>
      <c r="AH46" s="417"/>
      <c r="AI46" s="417"/>
      <c r="AJ46" s="417"/>
      <c r="AK46" s="417"/>
      <c r="AL46" s="417"/>
      <c r="AM46" s="417"/>
      <c r="AN46" s="417"/>
      <c r="AO46" s="417"/>
      <c r="AP46" s="417"/>
      <c r="AQ46" s="417"/>
      <c r="AR46" s="417"/>
      <c r="AS46" s="417"/>
      <c r="AT46" s="417"/>
      <c r="AU46" s="417"/>
      <c r="AV46" s="417"/>
      <c r="AW46" s="417"/>
      <c r="AX46" s="417"/>
      <c r="AY46" s="417"/>
      <c r="AZ46" s="417"/>
      <c r="BA46" s="417"/>
      <c r="BB46" s="417"/>
      <c r="BC46" s="417"/>
      <c r="BD46" s="417"/>
      <c r="BE46" s="417"/>
      <c r="BF46" s="417"/>
      <c r="BG46" s="417"/>
      <c r="BH46" s="417"/>
      <c r="BI46" s="417"/>
      <c r="BJ46" s="417"/>
      <c r="BK46" s="417"/>
      <c r="BL46" s="417"/>
      <c r="BM46" s="417"/>
      <c r="BN46" s="417"/>
      <c r="BO46" s="417"/>
      <c r="BP46" s="417"/>
      <c r="BQ46" s="577"/>
    </row>
    <row r="47" spans="2:70" outlineLevel="1">
      <c r="B47" s="421" t="str">
        <f>names!$A1116</f>
        <v>Rafineria</v>
      </c>
      <c r="C47" s="419"/>
      <c r="D47" s="419"/>
      <c r="E47" s="419"/>
      <c r="F47" s="419"/>
      <c r="G47" s="419"/>
      <c r="H47" s="419"/>
      <c r="I47" s="419">
        <v>-12</v>
      </c>
      <c r="J47" s="419"/>
      <c r="K47" s="422">
        <v>-4934</v>
      </c>
      <c r="L47" s="419"/>
      <c r="M47" s="419">
        <v>-10</v>
      </c>
      <c r="N47" s="419"/>
      <c r="O47" s="419">
        <v>-42</v>
      </c>
      <c r="P47" s="419">
        <f>SUM(H47:O47)</f>
        <v>-4998</v>
      </c>
      <c r="Q47" s="419"/>
      <c r="R47" s="419">
        <v>-10</v>
      </c>
      <c r="S47" s="419"/>
      <c r="T47" s="419">
        <v>-5</v>
      </c>
      <c r="U47" s="419"/>
      <c r="V47" s="419">
        <v>-13</v>
      </c>
      <c r="W47" s="419"/>
      <c r="X47" s="419">
        <v>-5</v>
      </c>
      <c r="Z47" s="423">
        <f>R47+T47+V47+X47</f>
        <v>-33</v>
      </c>
      <c r="AA47" s="419"/>
      <c r="AB47" s="423">
        <v>-4</v>
      </c>
      <c r="AC47" s="419"/>
      <c r="AD47" s="423">
        <v>-1</v>
      </c>
      <c r="AE47" s="419"/>
      <c r="AF47" s="423">
        <v>-3</v>
      </c>
      <c r="AG47" s="419"/>
      <c r="AH47" s="423">
        <f>244+1</f>
        <v>245</v>
      </c>
      <c r="AI47" s="419"/>
      <c r="AJ47" s="423">
        <v>237</v>
      </c>
      <c r="AK47" s="419"/>
      <c r="AL47" s="423">
        <v>-1</v>
      </c>
      <c r="AM47" s="419"/>
      <c r="AN47" s="423">
        <v>2</v>
      </c>
      <c r="AO47" s="419"/>
      <c r="AP47" s="423">
        <v>-3</v>
      </c>
      <c r="AQ47" s="419"/>
      <c r="AR47" s="423">
        <v>-13</v>
      </c>
      <c r="AS47" s="419"/>
      <c r="AT47" s="423">
        <v>-15</v>
      </c>
      <c r="AU47" s="419"/>
      <c r="AV47" s="419">
        <v>-2</v>
      </c>
      <c r="AW47" s="419"/>
      <c r="AX47" s="419">
        <v>-4</v>
      </c>
      <c r="AY47" s="419"/>
      <c r="AZ47" s="419">
        <f>-2</f>
        <v>-2</v>
      </c>
      <c r="BA47" s="419"/>
      <c r="BB47" s="419">
        <f>668-3</f>
        <v>665</v>
      </c>
      <c r="BC47" s="419"/>
      <c r="BD47" s="419">
        <f>655+2</f>
        <v>657</v>
      </c>
      <c r="BE47" s="419"/>
      <c r="BF47" s="419">
        <v>-4</v>
      </c>
      <c r="BG47" s="419"/>
      <c r="BH47" s="419">
        <v>-1</v>
      </c>
      <c r="BI47" s="419"/>
      <c r="BJ47" s="419">
        <v>0</v>
      </c>
      <c r="BK47" s="419"/>
      <c r="BL47" s="419">
        <v>-1</v>
      </c>
      <c r="BM47" s="419"/>
      <c r="BN47" s="419">
        <v>-6</v>
      </c>
      <c r="BO47" s="419"/>
      <c r="BP47" s="419">
        <v>-4</v>
      </c>
      <c r="BQ47" s="577"/>
    </row>
    <row r="48" spans="2:70" outlineLevel="1">
      <c r="B48" s="421" t="str">
        <f>names!$A1117</f>
        <v>Petrochemia</v>
      </c>
      <c r="C48" s="419"/>
      <c r="D48" s="419"/>
      <c r="E48" s="419"/>
      <c r="F48" s="419"/>
      <c r="G48" s="419"/>
      <c r="H48" s="419"/>
      <c r="I48" s="419"/>
      <c r="J48" s="419"/>
      <c r="K48" s="422">
        <v>-58</v>
      </c>
      <c r="L48" s="419"/>
      <c r="M48" s="419">
        <v>-2</v>
      </c>
      <c r="N48" s="419"/>
      <c r="O48" s="419">
        <v>-4</v>
      </c>
      <c r="P48" s="419">
        <f>SUM(H48:O48)</f>
        <v>-64</v>
      </c>
      <c r="Q48" s="419"/>
      <c r="R48" s="419">
        <v>-2</v>
      </c>
      <c r="S48" s="419"/>
      <c r="T48" s="419">
        <v>-4</v>
      </c>
      <c r="U48" s="419"/>
      <c r="V48" s="419">
        <v>-93</v>
      </c>
      <c r="W48" s="419"/>
      <c r="X48" s="419">
        <v>-4</v>
      </c>
      <c r="Y48" s="423"/>
      <c r="Z48" s="423">
        <f>R48+T48+V48+X48</f>
        <v>-103</v>
      </c>
      <c r="AA48" s="419"/>
      <c r="AB48" s="423">
        <v>-2</v>
      </c>
      <c r="AC48" s="419"/>
      <c r="AD48" s="423">
        <v>-2</v>
      </c>
      <c r="AE48" s="419"/>
      <c r="AF48" s="423">
        <v>-2</v>
      </c>
      <c r="AG48" s="419"/>
      <c r="AH48" s="423">
        <f>-12-1</f>
        <v>-13</v>
      </c>
      <c r="AI48" s="419"/>
      <c r="AJ48" s="423">
        <v>-19</v>
      </c>
      <c r="AK48" s="419"/>
      <c r="AL48" s="423"/>
      <c r="AM48" s="419"/>
      <c r="AN48" s="423">
        <v>-1</v>
      </c>
      <c r="AO48" s="419"/>
      <c r="AP48" s="423">
        <v>0</v>
      </c>
      <c r="AQ48" s="419"/>
      <c r="AR48" s="423">
        <v>-3</v>
      </c>
      <c r="AS48" s="419"/>
      <c r="AT48" s="423">
        <v>-4</v>
      </c>
      <c r="AU48" s="419"/>
      <c r="AV48" s="419">
        <v>0</v>
      </c>
      <c r="AW48" s="419"/>
      <c r="AX48" s="419">
        <v>0</v>
      </c>
      <c r="AY48" s="419"/>
      <c r="AZ48" s="419">
        <v>0</v>
      </c>
      <c r="BA48" s="419"/>
      <c r="BB48" s="419">
        <f>-20+55</f>
        <v>35</v>
      </c>
      <c r="BC48" s="419"/>
      <c r="BD48" s="419">
        <f>-20+55</f>
        <v>35</v>
      </c>
      <c r="BE48" s="419"/>
      <c r="BF48" s="419">
        <v>-7</v>
      </c>
      <c r="BG48" s="419"/>
      <c r="BH48" s="419">
        <v>-5</v>
      </c>
      <c r="BI48" s="419"/>
      <c r="BJ48" s="419">
        <v>-9</v>
      </c>
      <c r="BK48" s="419"/>
      <c r="BL48" s="419">
        <v>-30</v>
      </c>
      <c r="BM48" s="419"/>
      <c r="BN48" s="419">
        <v>-51</v>
      </c>
      <c r="BO48" s="419"/>
      <c r="BP48" s="419">
        <v>0</v>
      </c>
      <c r="BQ48" s="577"/>
    </row>
    <row r="49" spans="2:70" outlineLevel="1">
      <c r="B49" s="421" t="str">
        <f>names!$A1118</f>
        <v>Detal</v>
      </c>
      <c r="C49" s="419"/>
      <c r="D49" s="419"/>
      <c r="E49" s="419"/>
      <c r="F49" s="419"/>
      <c r="G49" s="419"/>
      <c r="H49" s="419"/>
      <c r="I49" s="419">
        <v>-3</v>
      </c>
      <c r="J49" s="419"/>
      <c r="K49" s="419">
        <v>-2</v>
      </c>
      <c r="L49" s="419"/>
      <c r="M49" s="419"/>
      <c r="N49" s="419"/>
      <c r="O49" s="419">
        <v>29</v>
      </c>
      <c r="P49" s="419">
        <f>SUM(H49:O49)</f>
        <v>24</v>
      </c>
      <c r="Q49" s="419"/>
      <c r="R49" s="419">
        <v>1</v>
      </c>
      <c r="S49" s="419"/>
      <c r="T49" s="419">
        <v>-6</v>
      </c>
      <c r="U49" s="419"/>
      <c r="V49" s="419">
        <v>5</v>
      </c>
      <c r="W49" s="419"/>
      <c r="X49" s="419"/>
      <c r="Y49" s="423"/>
      <c r="Z49" s="423">
        <f>R49+T49+V49+X49</f>
        <v>0</v>
      </c>
      <c r="AA49" s="419"/>
      <c r="AB49" s="423">
        <v>-1</v>
      </c>
      <c r="AC49" s="419"/>
      <c r="AD49" s="423">
        <v>1</v>
      </c>
      <c r="AE49" s="419"/>
      <c r="AF49" s="423">
        <v>-1</v>
      </c>
      <c r="AG49" s="419"/>
      <c r="AH49" s="423">
        <v>-6</v>
      </c>
      <c r="AI49" s="419"/>
      <c r="AJ49" s="423">
        <v>-7</v>
      </c>
      <c r="AK49" s="419"/>
      <c r="AL49" s="423"/>
      <c r="AM49" s="419"/>
      <c r="AN49" s="423">
        <v>-12</v>
      </c>
      <c r="AO49" s="419"/>
      <c r="AP49" s="423">
        <v>-1</v>
      </c>
      <c r="AQ49" s="419"/>
      <c r="AR49" s="419">
        <v>2</v>
      </c>
      <c r="AS49" s="419"/>
      <c r="AT49" s="423">
        <v>-11</v>
      </c>
      <c r="AU49" s="419"/>
      <c r="AV49" s="419">
        <v>7</v>
      </c>
      <c r="AW49" s="419"/>
      <c r="AX49" s="419">
        <v>0</v>
      </c>
      <c r="AY49" s="419"/>
      <c r="AZ49" s="419">
        <v>-11</v>
      </c>
      <c r="BA49" s="419"/>
      <c r="BB49" s="419">
        <v>-10</v>
      </c>
      <c r="BC49" s="419"/>
      <c r="BD49" s="419">
        <v>-14</v>
      </c>
      <c r="BE49" s="419"/>
      <c r="BF49" s="419">
        <v>2</v>
      </c>
      <c r="BG49" s="419"/>
      <c r="BH49" s="419">
        <v>-4</v>
      </c>
      <c r="BI49" s="419"/>
      <c r="BJ49" s="419">
        <v>-1</v>
      </c>
      <c r="BK49" s="419"/>
      <c r="BL49" s="419">
        <v>19</v>
      </c>
      <c r="BM49" s="419"/>
      <c r="BN49" s="419">
        <v>16</v>
      </c>
      <c r="BO49" s="419"/>
      <c r="BP49" s="419">
        <v>-4</v>
      </c>
      <c r="BQ49" s="577"/>
    </row>
    <row r="50" spans="2:70" outlineLevel="1">
      <c r="B50" s="421" t="str">
        <f>names!$A1119</f>
        <v>Wydobycie</v>
      </c>
      <c r="C50" s="419"/>
      <c r="D50" s="419"/>
      <c r="E50" s="419"/>
      <c r="F50" s="419"/>
      <c r="G50" s="419"/>
      <c r="H50" s="419"/>
      <c r="I50" s="419"/>
      <c r="J50" s="419"/>
      <c r="K50" s="419">
        <v>-8</v>
      </c>
      <c r="L50" s="419"/>
      <c r="M50" s="419"/>
      <c r="N50" s="419"/>
      <c r="O50" s="419">
        <v>-314</v>
      </c>
      <c r="P50" s="419">
        <f>SUM(H50:O50)</f>
        <v>-322</v>
      </c>
      <c r="Q50" s="419"/>
      <c r="R50" s="419"/>
      <c r="S50" s="419"/>
      <c r="T50" s="419">
        <v>-429</v>
      </c>
      <c r="U50" s="419"/>
      <c r="V50" s="419"/>
      <c r="W50" s="419"/>
      <c r="X50" s="419">
        <v>-423</v>
      </c>
      <c r="Y50" s="423"/>
      <c r="Z50" s="423">
        <f>R50+T50+V50+X50</f>
        <v>-852</v>
      </c>
      <c r="AA50" s="419"/>
      <c r="AB50" s="423">
        <v>0</v>
      </c>
      <c r="AC50" s="419"/>
      <c r="AD50" s="423">
        <v>-2</v>
      </c>
      <c r="AE50" s="419"/>
      <c r="AF50" s="423">
        <v>1</v>
      </c>
      <c r="AG50" s="419"/>
      <c r="AH50" s="423">
        <v>-72</v>
      </c>
      <c r="AI50" s="419"/>
      <c r="AJ50" s="423">
        <v>-73</v>
      </c>
      <c r="AK50" s="419"/>
      <c r="AL50" s="423">
        <v>-1</v>
      </c>
      <c r="AM50" s="419"/>
      <c r="AN50" s="423"/>
      <c r="AO50" s="419"/>
      <c r="AP50" s="423">
        <v>-42</v>
      </c>
      <c r="AQ50" s="419"/>
      <c r="AR50" s="419">
        <v>-97</v>
      </c>
      <c r="AS50" s="419"/>
      <c r="AT50" s="423">
        <v>-140</v>
      </c>
      <c r="AU50" s="419"/>
      <c r="AV50" s="419">
        <v>-2</v>
      </c>
      <c r="AW50" s="419"/>
      <c r="AX50" s="419">
        <v>-10</v>
      </c>
      <c r="AY50" s="419"/>
      <c r="AZ50" s="419">
        <v>0</v>
      </c>
      <c r="BA50" s="419"/>
      <c r="BB50" s="419">
        <v>-6</v>
      </c>
      <c r="BC50" s="419"/>
      <c r="BD50" s="419">
        <v>-18</v>
      </c>
      <c r="BE50" s="419"/>
      <c r="BF50" s="419">
        <v>-1</v>
      </c>
      <c r="BG50" s="419"/>
      <c r="BH50" s="419">
        <v>-1</v>
      </c>
      <c r="BI50" s="419"/>
      <c r="BJ50" s="419">
        <v>-62</v>
      </c>
      <c r="BK50" s="419"/>
      <c r="BL50" s="419">
        <v>-67</v>
      </c>
      <c r="BM50" s="419"/>
      <c r="BN50" s="419">
        <v>-131</v>
      </c>
      <c r="BO50" s="419"/>
      <c r="BP50" s="419">
        <v>-496</v>
      </c>
      <c r="BQ50" s="577"/>
    </row>
    <row r="51" spans="2:70" outlineLevel="1">
      <c r="B51" s="421" t="str">
        <f>names!$A1120</f>
        <v>CK</v>
      </c>
      <c r="C51" s="419"/>
      <c r="D51" s="419"/>
      <c r="E51" s="419"/>
      <c r="F51" s="419"/>
      <c r="G51" s="419"/>
      <c r="H51" s="419"/>
      <c r="I51" s="419"/>
      <c r="J51" s="419"/>
      <c r="K51" s="419"/>
      <c r="L51" s="419"/>
      <c r="M51" s="419"/>
      <c r="N51" s="419"/>
      <c r="O51" s="419"/>
      <c r="P51" s="419"/>
      <c r="Q51" s="419"/>
      <c r="R51" s="419"/>
      <c r="S51" s="419"/>
      <c r="T51" s="419"/>
      <c r="U51" s="419"/>
      <c r="V51" s="419"/>
      <c r="W51" s="419"/>
      <c r="X51" s="419">
        <v>-5</v>
      </c>
      <c r="Y51" s="423"/>
      <c r="Z51" s="423">
        <f>R51+T51+V51+X51</f>
        <v>-5</v>
      </c>
      <c r="AA51" s="419"/>
      <c r="AB51" s="423">
        <v>0</v>
      </c>
      <c r="AC51" s="419"/>
      <c r="AD51" s="423">
        <v>0</v>
      </c>
      <c r="AE51" s="419"/>
      <c r="AF51" s="423">
        <v>3</v>
      </c>
      <c r="AG51" s="419"/>
      <c r="AH51" s="423">
        <v>4</v>
      </c>
      <c r="AI51" s="419"/>
      <c r="AJ51" s="423">
        <v>7</v>
      </c>
      <c r="AK51" s="419"/>
      <c r="AL51" s="423"/>
      <c r="AM51" s="419"/>
      <c r="AN51" s="423">
        <v>-2</v>
      </c>
      <c r="AO51" s="419"/>
      <c r="AP51" s="423">
        <v>-4</v>
      </c>
      <c r="AQ51" s="419"/>
      <c r="AR51" s="419">
        <v>7</v>
      </c>
      <c r="AS51" s="419"/>
      <c r="AT51" s="423">
        <v>1</v>
      </c>
      <c r="AU51" s="419"/>
      <c r="AV51" s="419">
        <v>0</v>
      </c>
      <c r="AW51" s="419"/>
      <c r="AX51" s="419">
        <v>-2</v>
      </c>
      <c r="AY51" s="419"/>
      <c r="AZ51" s="419">
        <v>-3</v>
      </c>
      <c r="BA51" s="419"/>
      <c r="BB51" s="419">
        <v>49</v>
      </c>
      <c r="BC51" s="419"/>
      <c r="BD51" s="419">
        <v>44</v>
      </c>
      <c r="BE51" s="419"/>
      <c r="BF51" s="419">
        <v>0</v>
      </c>
      <c r="BG51" s="419"/>
      <c r="BH51" s="419">
        <v>-6</v>
      </c>
      <c r="BI51" s="419"/>
      <c r="BJ51" s="419">
        <v>-1</v>
      </c>
      <c r="BK51" s="419"/>
      <c r="BL51" s="419">
        <v>0</v>
      </c>
      <c r="BM51" s="419"/>
      <c r="BN51" s="419">
        <v>-7</v>
      </c>
      <c r="BO51" s="419"/>
      <c r="BP51" s="419">
        <v>0</v>
      </c>
      <c r="BQ51" s="577"/>
    </row>
    <row r="52" spans="2:70" s="471" customFormat="1" outlineLevel="1">
      <c r="B52" s="417" t="str">
        <f>names!$A1121</f>
        <v>RAZEM</v>
      </c>
      <c r="C52" s="417"/>
      <c r="D52" s="417"/>
      <c r="E52" s="417"/>
      <c r="F52" s="417"/>
      <c r="G52" s="417"/>
      <c r="H52" s="417"/>
      <c r="I52" s="417">
        <f>SUM(I47:I50)</f>
        <v>-15</v>
      </c>
      <c r="J52" s="417"/>
      <c r="K52" s="417">
        <f>SUM(K47:K50)</f>
        <v>-5002</v>
      </c>
      <c r="L52" s="417"/>
      <c r="M52" s="417">
        <f>SUM(M47:M50)</f>
        <v>-12</v>
      </c>
      <c r="N52" s="417"/>
      <c r="O52" s="417">
        <f>SUM(O47:O50)</f>
        <v>-331</v>
      </c>
      <c r="P52" s="417">
        <f>SUM(H52:O52)</f>
        <v>-5360</v>
      </c>
      <c r="Q52" s="417"/>
      <c r="R52" s="417">
        <f>SUM(R47:R51)</f>
        <v>-11</v>
      </c>
      <c r="S52" s="417"/>
      <c r="T52" s="417">
        <f>SUM(T47:T51)</f>
        <v>-444</v>
      </c>
      <c r="U52" s="417"/>
      <c r="V52" s="417">
        <f>SUM(V47:V51)</f>
        <v>-101</v>
      </c>
      <c r="W52" s="417"/>
      <c r="X52" s="417">
        <f>SUM(X47:X51)</f>
        <v>-437</v>
      </c>
      <c r="Y52" s="420"/>
      <c r="Z52" s="417">
        <f>SUM(Z47:Z51)</f>
        <v>-993</v>
      </c>
      <c r="AA52" s="417"/>
      <c r="AB52" s="417">
        <f>SUM(AB47:AB51)</f>
        <v>-7</v>
      </c>
      <c r="AC52" s="417"/>
      <c r="AD52" s="417">
        <f>SUM(AD47:AD51)</f>
        <v>-4</v>
      </c>
      <c r="AE52" s="417"/>
      <c r="AF52" s="417">
        <f>SUM(AF47:AF51)</f>
        <v>-2</v>
      </c>
      <c r="AG52" s="417"/>
      <c r="AH52" s="417">
        <f>SUM(AH47:AH51)</f>
        <v>158</v>
      </c>
      <c r="AI52" s="417"/>
      <c r="AJ52" s="417">
        <f>SUM(AJ47:AJ51)</f>
        <v>145</v>
      </c>
      <c r="AK52" s="417"/>
      <c r="AL52" s="417">
        <f>SUM(AL47:AL51)</f>
        <v>-2</v>
      </c>
      <c r="AM52" s="417"/>
      <c r="AN52" s="417">
        <f>SUM(AN47:AN51)</f>
        <v>-13</v>
      </c>
      <c r="AO52" s="417"/>
      <c r="AP52" s="417">
        <f>SUM(AP47:AP51)</f>
        <v>-50</v>
      </c>
      <c r="AQ52" s="417"/>
      <c r="AR52" s="417">
        <f>SUM(AR47:AR51)</f>
        <v>-104</v>
      </c>
      <c r="AS52" s="417"/>
      <c r="AT52" s="417">
        <f>SUM(AT47:AT51)</f>
        <v>-169</v>
      </c>
      <c r="AU52" s="417"/>
      <c r="AV52" s="417">
        <f>SUM(AV47:AV51)</f>
        <v>3</v>
      </c>
      <c r="AW52" s="417"/>
      <c r="AX52" s="417">
        <f>SUM(AX47:AX51)</f>
        <v>-16</v>
      </c>
      <c r="AY52" s="417"/>
      <c r="AZ52" s="417">
        <f>SUM(AZ47:AZ51)</f>
        <v>-16</v>
      </c>
      <c r="BA52" s="417"/>
      <c r="BB52" s="417">
        <f>SUM(BB47:BB51)</f>
        <v>733</v>
      </c>
      <c r="BC52" s="417"/>
      <c r="BD52" s="417">
        <f>SUM(BD47:BD51)</f>
        <v>704</v>
      </c>
      <c r="BE52" s="417"/>
      <c r="BF52" s="417">
        <f>SUM(BF47:BF51)</f>
        <v>-10</v>
      </c>
      <c r="BG52" s="417"/>
      <c r="BH52" s="417">
        <f>SUM(BH47:BH51)</f>
        <v>-17</v>
      </c>
      <c r="BI52" s="417"/>
      <c r="BJ52" s="417">
        <f>SUM(BJ47:BJ51)</f>
        <v>-73</v>
      </c>
      <c r="BK52" s="417"/>
      <c r="BL52" s="417">
        <f>SUM(BL47:BL51)</f>
        <v>-79</v>
      </c>
      <c r="BM52" s="417"/>
      <c r="BN52" s="417">
        <f>SUM(BN47:BN51)</f>
        <v>-179</v>
      </c>
      <c r="BO52" s="417"/>
      <c r="BP52" s="417">
        <f>SUM(BP47:BP51)</f>
        <v>-504</v>
      </c>
      <c r="BQ52" s="577"/>
      <c r="BR52" s="371"/>
    </row>
    <row r="53" spans="2:70">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3"/>
      <c r="AO53" s="423"/>
      <c r="AP53" s="423"/>
      <c r="AQ53" s="423"/>
      <c r="AR53" s="423"/>
      <c r="AS53" s="423"/>
      <c r="AT53" s="423"/>
      <c r="AU53" s="423"/>
      <c r="AV53" s="423"/>
      <c r="AW53" s="423"/>
      <c r="AX53" s="423"/>
      <c r="AY53" s="423"/>
      <c r="AZ53" s="423"/>
      <c r="BA53" s="423"/>
      <c r="BB53" s="423"/>
      <c r="BC53" s="423"/>
      <c r="BD53" s="423"/>
      <c r="BE53" s="423"/>
      <c r="BF53" s="423"/>
      <c r="BG53" s="423"/>
      <c r="BH53" s="423"/>
      <c r="BI53" s="423"/>
      <c r="BJ53" s="423"/>
      <c r="BK53" s="423"/>
      <c r="BL53" s="423"/>
      <c r="BM53" s="423"/>
      <c r="BN53" s="423"/>
      <c r="BO53" s="423"/>
      <c r="BP53" s="423"/>
      <c r="BQ53" s="577"/>
    </row>
    <row r="54" spans="2:70">
      <c r="AT54" s="419"/>
      <c r="AV54" s="419"/>
      <c r="BF54" s="419"/>
      <c r="BP54" s="419"/>
    </row>
    <row r="55" spans="2:70">
      <c r="P55" s="423"/>
      <c r="Q55" s="419"/>
      <c r="R55" s="419"/>
      <c r="S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419"/>
      <c r="BA55" s="419"/>
      <c r="BB55" s="419"/>
      <c r="BC55" s="419"/>
      <c r="BD55" s="419"/>
      <c r="BE55" s="419"/>
      <c r="BF55" s="419"/>
      <c r="BG55" s="419"/>
      <c r="BH55" s="419"/>
      <c r="BI55" s="419"/>
      <c r="BJ55" s="419"/>
      <c r="BK55" s="419"/>
      <c r="BL55" s="419"/>
      <c r="BM55" s="419"/>
      <c r="BN55" s="419"/>
      <c r="BO55" s="419"/>
      <c r="BP55" s="419"/>
    </row>
    <row r="56" spans="2:70">
      <c r="B56" s="577"/>
      <c r="C56" s="577"/>
      <c r="D56" s="577"/>
      <c r="E56" s="577"/>
      <c r="F56" s="577"/>
      <c r="G56" s="577"/>
      <c r="H56" s="577"/>
      <c r="I56" s="577"/>
      <c r="J56" s="577"/>
      <c r="K56" s="577"/>
      <c r="L56" s="577"/>
      <c r="M56" s="577"/>
      <c r="N56" s="577"/>
      <c r="O56" s="577"/>
      <c r="P56" s="577"/>
      <c r="Q56" s="577"/>
      <c r="R56" s="577"/>
      <c r="S56" s="577"/>
      <c r="T56" s="577"/>
      <c r="U56" s="577"/>
      <c r="V56" s="577"/>
      <c r="W56" s="577"/>
      <c r="X56" s="577"/>
      <c r="Y56" s="577"/>
      <c r="Z56" s="577"/>
      <c r="AA56" s="577"/>
      <c r="AB56" s="577"/>
      <c r="AC56" s="577"/>
      <c r="AD56" s="577"/>
      <c r="AE56" s="577"/>
      <c r="AF56" s="577"/>
      <c r="AG56" s="577"/>
      <c r="AH56" s="577"/>
      <c r="AI56" s="577"/>
      <c r="AJ56" s="577"/>
      <c r="AK56" s="577"/>
      <c r="AL56" s="577"/>
      <c r="AM56" s="577"/>
      <c r="AN56" s="577"/>
      <c r="AO56" s="577"/>
      <c r="AP56" s="577"/>
      <c r="AQ56" s="577"/>
      <c r="AR56" s="577"/>
      <c r="AS56" s="577"/>
      <c r="AT56" s="577"/>
      <c r="AU56" s="577"/>
      <c r="AV56" s="577"/>
      <c r="AW56" s="577"/>
      <c r="AX56" s="577"/>
      <c r="AY56" s="577"/>
      <c r="AZ56" s="577"/>
      <c r="BA56" s="577"/>
      <c r="BB56" s="577"/>
      <c r="BC56" s="577"/>
      <c r="BD56" s="577"/>
      <c r="BE56" s="577"/>
      <c r="BF56" s="577"/>
      <c r="BG56" s="577"/>
      <c r="BH56" s="577"/>
      <c r="BI56" s="577"/>
      <c r="BJ56" s="577"/>
      <c r="BK56" s="577"/>
      <c r="BL56" s="577"/>
      <c r="BM56" s="577"/>
      <c r="BN56" s="577"/>
      <c r="BO56" s="577"/>
      <c r="BP56" s="577"/>
    </row>
    <row r="57" spans="2:70">
      <c r="B57" s="577"/>
      <c r="C57" s="577"/>
      <c r="D57" s="577"/>
      <c r="E57" s="577"/>
      <c r="F57" s="577"/>
      <c r="G57" s="577"/>
      <c r="H57" s="577"/>
      <c r="I57" s="577"/>
      <c r="J57" s="577"/>
      <c r="K57" s="577"/>
      <c r="L57" s="577"/>
      <c r="M57" s="577"/>
      <c r="N57" s="577"/>
      <c r="O57" s="577"/>
      <c r="P57" s="577"/>
      <c r="Q57" s="577"/>
      <c r="R57" s="577"/>
      <c r="S57" s="577"/>
      <c r="T57" s="577"/>
      <c r="U57" s="577"/>
      <c r="V57" s="577"/>
      <c r="W57" s="577"/>
      <c r="X57" s="577"/>
      <c r="Y57" s="577"/>
      <c r="Z57" s="577"/>
      <c r="AA57" s="577"/>
      <c r="AB57" s="577"/>
      <c r="AC57" s="577"/>
      <c r="AD57" s="577"/>
      <c r="AE57" s="577"/>
      <c r="AF57" s="577"/>
      <c r="AG57" s="577"/>
      <c r="AH57" s="577"/>
      <c r="AI57" s="577"/>
      <c r="AJ57" s="577"/>
      <c r="AK57" s="577"/>
      <c r="AL57" s="577"/>
      <c r="AM57" s="577"/>
      <c r="AN57" s="577"/>
      <c r="AO57" s="577"/>
      <c r="AP57" s="577"/>
      <c r="AQ57" s="577"/>
      <c r="AR57" s="577"/>
      <c r="AS57" s="577"/>
      <c r="AT57" s="577"/>
      <c r="AU57" s="577"/>
      <c r="AV57" s="577"/>
      <c r="AW57" s="577"/>
      <c r="AX57" s="577"/>
      <c r="AY57" s="577"/>
      <c r="AZ57" s="577"/>
      <c r="BA57" s="577"/>
      <c r="BB57" s="577"/>
      <c r="BC57" s="577"/>
      <c r="BD57" s="577"/>
      <c r="BE57" s="577"/>
      <c r="BF57" s="577"/>
      <c r="BG57" s="577"/>
      <c r="BH57" s="577"/>
      <c r="BI57" s="577"/>
      <c r="BJ57" s="577"/>
      <c r="BK57" s="577"/>
      <c r="BL57" s="577"/>
      <c r="BM57" s="577"/>
      <c r="BN57" s="577"/>
      <c r="BO57" s="577"/>
      <c r="BP57" s="577"/>
    </row>
    <row r="58" spans="2:70">
      <c r="B58" s="577"/>
      <c r="C58" s="577"/>
      <c r="D58" s="577"/>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M58" s="577"/>
      <c r="AN58" s="577"/>
      <c r="AO58" s="577"/>
      <c r="AP58" s="577"/>
      <c r="AQ58" s="577"/>
      <c r="AR58" s="577"/>
      <c r="AS58" s="577"/>
      <c r="AT58" s="577"/>
      <c r="AU58" s="577"/>
      <c r="AV58" s="577"/>
      <c r="AW58" s="577"/>
      <c r="AX58" s="577"/>
      <c r="AY58" s="577"/>
      <c r="AZ58" s="577"/>
      <c r="BA58" s="577"/>
      <c r="BB58" s="577"/>
      <c r="BC58" s="577"/>
      <c r="BD58" s="577"/>
      <c r="BE58" s="577"/>
      <c r="BF58" s="577"/>
      <c r="BG58" s="577"/>
      <c r="BH58" s="577"/>
      <c r="BI58" s="577"/>
      <c r="BJ58" s="577"/>
      <c r="BK58" s="577"/>
      <c r="BL58" s="577"/>
      <c r="BM58" s="577"/>
      <c r="BN58" s="577"/>
      <c r="BO58" s="577"/>
      <c r="BP58" s="577"/>
    </row>
    <row r="59" spans="2:70">
      <c r="BA59" s="769"/>
      <c r="BB59" s="769"/>
      <c r="BC59" s="769"/>
    </row>
    <row r="60" spans="2:70">
      <c r="B60" s="416"/>
    </row>
    <row r="61" spans="2:70">
      <c r="B61" s="416"/>
    </row>
  </sheetData>
  <mergeCells count="1">
    <mergeCell ref="B42:BP42"/>
  </mergeCells>
  <conditionalFormatting sqref="B56:BP58">
    <cfRule type="cellIs" dxfId="62" priority="2" operator="equal">
      <formula>FALSE</formula>
    </cfRule>
  </conditionalFormatting>
  <conditionalFormatting sqref="BQ2:BQ53">
    <cfRule type="cellIs" dxfId="61"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6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34998626667073579"/>
    <pageSetUpPr fitToPage="1"/>
  </sheetPr>
  <dimension ref="B1:BL69"/>
  <sheetViews>
    <sheetView showGridLines="0" view="pageBreakPreview" zoomScaleNormal="90" zoomScaleSheetLayoutView="100" workbookViewId="0">
      <pane xSplit="2" ySplit="4" topLeftCell="AP5" activePane="bottomRight" state="frozen"/>
      <selection activeCell="B2" sqref="B2"/>
      <selection pane="topRight" activeCell="B2" sqref="B2"/>
      <selection pane="bottomLeft" activeCell="B2" sqref="B2"/>
      <selection pane="bottomRight"/>
    </sheetView>
  </sheetViews>
  <sheetFormatPr defaultColWidth="9.28515625" defaultRowHeight="11.25" outlineLevelRow="1" outlineLevelCol="1"/>
  <cols>
    <col min="1" max="1" width="1.28515625" style="371" customWidth="1"/>
    <col min="2" max="2" width="25.28515625" style="371" customWidth="1"/>
    <col min="3" max="3" width="9" style="371" hidden="1" customWidth="1" outlineLevel="1"/>
    <col min="4" max="4" width="12.28515625" style="371" hidden="1" customWidth="1" outlineLevel="1"/>
    <col min="5" max="5" width="9" style="371" hidden="1" customWidth="1" outlineLevel="1"/>
    <col min="6" max="6" width="12" style="371" hidden="1" customWidth="1" outlineLevel="1"/>
    <col min="7" max="7" width="8.42578125" style="371" hidden="1" customWidth="1" outlineLevel="1"/>
    <col min="8" max="8" width="12.7109375" style="371" hidden="1" customWidth="1" outlineLevel="1"/>
    <col min="9" max="9" width="8.42578125" style="371" hidden="1" customWidth="1" outlineLevel="1"/>
    <col min="10" max="10" width="12.28515625" style="371" hidden="1" customWidth="1" outlineLevel="1"/>
    <col min="11" max="11" width="10.28515625" style="371" customWidth="1" collapsed="1"/>
    <col min="12" max="12" width="11.7109375" style="371" customWidth="1"/>
    <col min="13" max="13" width="9.42578125" style="371" hidden="1" customWidth="1" outlineLevel="1"/>
    <col min="14" max="14" width="12.7109375" style="371" hidden="1" customWidth="1" outlineLevel="1"/>
    <col min="15" max="15" width="8.42578125" style="371" hidden="1" customWidth="1" outlineLevel="1"/>
    <col min="16" max="16" width="11.42578125" style="371" hidden="1" customWidth="1" outlineLevel="1"/>
    <col min="17" max="17" width="8.42578125" style="371" hidden="1" customWidth="1" outlineLevel="1"/>
    <col min="18" max="18" width="12.42578125" style="371" hidden="1" customWidth="1" outlineLevel="1"/>
    <col min="19" max="19" width="8.42578125" style="371" hidden="1" customWidth="1" outlineLevel="1"/>
    <col min="20" max="20" width="11.7109375" style="371" hidden="1" customWidth="1" outlineLevel="1"/>
    <col min="21" max="21" width="8.42578125" style="371" customWidth="1" collapsed="1"/>
    <col min="22" max="22" width="11.7109375" style="371" customWidth="1"/>
    <col min="23" max="23" width="9.42578125" style="371" hidden="1" customWidth="1" outlineLevel="1"/>
    <col min="24" max="24" width="12.28515625" style="371" hidden="1" customWidth="1" outlineLevel="1"/>
    <col min="25" max="25" width="8.42578125" style="371" hidden="1" customWidth="1" outlineLevel="1"/>
    <col min="26" max="26" width="11.28515625" style="371" hidden="1" customWidth="1" outlineLevel="1"/>
    <col min="27" max="27" width="8.42578125" style="371" hidden="1" customWidth="1" outlineLevel="1"/>
    <col min="28" max="28" width="10.7109375" style="371" hidden="1" customWidth="1" outlineLevel="1"/>
    <col min="29" max="29" width="8.42578125" style="371" hidden="1" customWidth="1" outlineLevel="1"/>
    <col min="30" max="30" width="10.7109375" style="371" hidden="1" customWidth="1" outlineLevel="1"/>
    <col min="31" max="31" width="8.42578125" style="371" customWidth="1" collapsed="1"/>
    <col min="32" max="32" width="11" style="371" customWidth="1"/>
    <col min="33" max="33" width="9.42578125" style="371" hidden="1" customWidth="1" outlineLevel="1"/>
    <col min="34" max="34" width="11.42578125" style="371" hidden="1" customWidth="1" outlineLevel="1"/>
    <col min="35" max="35" width="8.42578125" style="371" hidden="1" customWidth="1" outlineLevel="1"/>
    <col min="36" max="36" width="11.28515625" style="371" hidden="1" customWidth="1" outlineLevel="1"/>
    <col min="37" max="37" width="8.42578125" style="371" hidden="1" customWidth="1" outlineLevel="1"/>
    <col min="38" max="38" width="11.7109375" style="371" hidden="1" customWidth="1" outlineLevel="1"/>
    <col min="39" max="39" width="8.42578125" style="371" hidden="1" customWidth="1" outlineLevel="1"/>
    <col min="40" max="40" width="11.7109375" style="371" hidden="1" customWidth="1" outlineLevel="1"/>
    <col min="41" max="41" width="8.42578125" style="371" customWidth="1" collapsed="1"/>
    <col min="42" max="42" width="13.28515625" style="371" customWidth="1"/>
    <col min="43" max="43" width="9.42578125" style="371" customWidth="1"/>
    <col min="44" max="44" width="11.5703125" style="371" customWidth="1"/>
    <col min="45" max="45" width="9" style="371" customWidth="1"/>
    <col min="46" max="46" width="10.7109375" style="371" customWidth="1"/>
    <col min="47" max="47" width="8.42578125" style="371" customWidth="1"/>
    <col min="48" max="48" width="10.7109375" style="371" customWidth="1"/>
    <col min="49" max="49" width="8.42578125" style="371" customWidth="1"/>
    <col min="50" max="50" width="11.28515625" style="371" customWidth="1"/>
    <col min="51" max="51" width="8.42578125" style="371" customWidth="1"/>
    <col min="52" max="52" width="11.7109375" style="371" customWidth="1"/>
    <col min="53" max="53" width="9.42578125" style="371" hidden="1" customWidth="1" outlineLevel="1"/>
    <col min="54" max="54" width="11.7109375" style="371" hidden="1" customWidth="1" outlineLevel="1"/>
    <col min="55" max="55" width="8.42578125" style="371" hidden="1" customWidth="1" outlineLevel="1"/>
    <col min="56" max="56" width="11.42578125" style="371" hidden="1" customWidth="1" outlineLevel="1"/>
    <col min="57" max="57" width="8.42578125" style="371" hidden="1" customWidth="1" outlineLevel="1"/>
    <col min="58" max="58" width="11" style="371" hidden="1" customWidth="1" outlineLevel="1"/>
    <col min="59" max="59" width="8.42578125" style="371" hidden="1" customWidth="1" outlineLevel="1"/>
    <col min="60" max="60" width="11.7109375" style="371" hidden="1" customWidth="1" outlineLevel="1"/>
    <col min="61" max="61" width="8.42578125" style="371" customWidth="1" collapsed="1"/>
    <col min="62" max="62" width="11.7109375" style="371" customWidth="1"/>
    <col min="63" max="63" width="9.28515625" style="577"/>
    <col min="64" max="16384" width="9.28515625" style="371"/>
  </cols>
  <sheetData>
    <row r="1" spans="2:64" ht="10.15" customHeight="1"/>
    <row r="2" spans="2:64" ht="15.75" customHeight="1">
      <c r="B2" s="396" t="str">
        <f>names!$A333</f>
        <v>EBITDA LIFO</v>
      </c>
    </row>
    <row r="3" spans="2:64" ht="10.15" customHeight="1"/>
    <row r="4" spans="2:64" ht="72" customHeight="1">
      <c r="B4" s="372" t="str">
        <f>names!$A335</f>
        <v>Wyszczególnienie, 
mln PLN</v>
      </c>
      <c r="C4" s="372" t="str">
        <f>names!$A392</f>
        <v>I kw.
2019*</v>
      </c>
      <c r="D4" s="372" t="str">
        <f>names!$A393</f>
        <v>I kw.
2019
przed odpisem*,**</v>
      </c>
      <c r="E4" s="372" t="str">
        <f>names!$A394</f>
        <v>II kw.
2019*</v>
      </c>
      <c r="F4" s="372" t="str">
        <f>names!$A395</f>
        <v>II kw.
2019
przed odpisem**</v>
      </c>
      <c r="G4" s="372" t="str">
        <f>names!$A396</f>
        <v>III kw.
2019*</v>
      </c>
      <c r="H4" s="372" t="str">
        <f>names!$A397</f>
        <v>III kw.
2019
przed odpisem*,**</v>
      </c>
      <c r="I4" s="372" t="str">
        <f>names!$A398</f>
        <v>IV kw.
2019*</v>
      </c>
      <c r="J4" s="372" t="str">
        <f>names!$A399</f>
        <v>IV kw.
2019
przed odpisem*,**</v>
      </c>
      <c r="K4" s="372" t="str">
        <f>names!$A400</f>
        <v>12 m-cy
2019*</v>
      </c>
      <c r="L4" s="372" t="str">
        <f>names!$A401</f>
        <v>12 m-cy
2019
przed odpisem*,**</v>
      </c>
      <c r="M4" s="372" t="str">
        <f>names!$A402</f>
        <v>I kw.
2020*</v>
      </c>
      <c r="N4" s="372" t="str">
        <f>names!$A403</f>
        <v>I kw.
2020
przed odpisem*,**</v>
      </c>
      <c r="O4" s="372" t="str">
        <f>names!$A404</f>
        <v>II kw.
2020</v>
      </c>
      <c r="P4" s="372" t="str">
        <f>names!$A405</f>
        <v>II kw.
2020
przed odpisem**</v>
      </c>
      <c r="Q4" s="372" t="str">
        <f>names!$A406</f>
        <v>III kw.
2020</v>
      </c>
      <c r="R4" s="372" t="str">
        <f>names!$A407</f>
        <v>III kw.
2020
przed odpisem**</v>
      </c>
      <c r="S4" s="372" t="str">
        <f>names!$A408</f>
        <v>IV kw.
2020</v>
      </c>
      <c r="T4" s="372" t="str">
        <f>names!$A409</f>
        <v>IV kw.
2020
przed odpisem**</v>
      </c>
      <c r="U4" s="372" t="str">
        <f>names!$A410</f>
        <v>12 m-cy
2020</v>
      </c>
      <c r="V4" s="372" t="str">
        <f>names!$A411</f>
        <v>12 m-cy
2020
przed odpisem**</v>
      </c>
      <c r="W4" s="372" t="str">
        <f>names!$A412</f>
        <v>I kw.
2021</v>
      </c>
      <c r="X4" s="372" t="str">
        <f>names!$A413</f>
        <v>I kw.
2021
przed odpisem**</v>
      </c>
      <c r="Y4" s="372" t="str">
        <f>names!$A414</f>
        <v>II kw.
2021</v>
      </c>
      <c r="Z4" s="372" t="str">
        <f>names!$A415</f>
        <v>II kw.
2021
przed odpisem**</v>
      </c>
      <c r="AA4" s="372" t="str">
        <f>names!$A416</f>
        <v>III kw.
2021</v>
      </c>
      <c r="AB4" s="372" t="str">
        <f>names!$A417</f>
        <v>III kw.
2021
przed odpisem**</v>
      </c>
      <c r="AC4" s="372" t="str">
        <f>names!$A418</f>
        <v>IV kw.
2021</v>
      </c>
      <c r="AD4" s="372" t="str">
        <f>names!$A419</f>
        <v>IV kw.
2021
przed odpisem**</v>
      </c>
      <c r="AE4" s="372" t="str">
        <f>names!$A420</f>
        <v>12 m-cy
2021</v>
      </c>
      <c r="AF4" s="372" t="str">
        <f>names!$A421</f>
        <v>12 m-cy
2021
przed odpisem**</v>
      </c>
      <c r="AG4" s="372" t="str">
        <f>names!$A422</f>
        <v>I kw.
2022</v>
      </c>
      <c r="AH4" s="372" t="str">
        <f>names!$A423</f>
        <v>I kw.
2022
przed odpisem**</v>
      </c>
      <c r="AI4" s="372" t="str">
        <f>names!$A424</f>
        <v>II kw.
2022</v>
      </c>
      <c r="AJ4" s="372" t="str">
        <f>names!$A425</f>
        <v>II kw.
2022
przed odpisem**</v>
      </c>
      <c r="AK4" s="372" t="str">
        <f>names!$A426</f>
        <v>III kw.
2022</v>
      </c>
      <c r="AL4" s="372" t="str">
        <f>names!$A427</f>
        <v>III kw.
2022
przed odpisem**</v>
      </c>
      <c r="AM4" s="372" t="str">
        <f>names!$A428</f>
        <v>IV kw.
2022</v>
      </c>
      <c r="AN4" s="372" t="str">
        <f>names!$A429</f>
        <v>IV kw.
2022
przed odpisem**</v>
      </c>
      <c r="AO4" s="372" t="str">
        <f>names!$A430</f>
        <v>12 m-cy
2022</v>
      </c>
      <c r="AP4" s="372" t="str">
        <f>names!$A431</f>
        <v>12 m-cy
2022
przed odpisem**</v>
      </c>
      <c r="AQ4" s="372" t="str">
        <f>names!$A432</f>
        <v>I kw.
2023</v>
      </c>
      <c r="AR4" s="372" t="str">
        <f>names!$A433</f>
        <v>I kw.
2023
przed odpisem**</v>
      </c>
      <c r="AS4" s="372" t="str">
        <f>names!$A434</f>
        <v>II kw.
2023</v>
      </c>
      <c r="AT4" s="372" t="str">
        <f>names!$A435</f>
        <v>II kw.
2023
przed odpisem**</v>
      </c>
      <c r="AU4" s="372" t="str">
        <f>names!$A436</f>
        <v>III kw.
2023</v>
      </c>
      <c r="AV4" s="372" t="str">
        <f>names!$A437</f>
        <v>III kw.
2023
przed odpisem**</v>
      </c>
      <c r="AW4" s="372" t="str">
        <f>names!$A438</f>
        <v>IV kw.
2023</v>
      </c>
      <c r="AX4" s="372" t="str">
        <f>names!$A439</f>
        <v>IV kw.
2023
przed odpisem**</v>
      </c>
      <c r="AY4" s="372" t="str">
        <f>names!$A440</f>
        <v>12 m-cy
2023</v>
      </c>
      <c r="AZ4" s="372" t="str">
        <f>names!$A441</f>
        <v>12 m-cy
2023
przed odpisem**</v>
      </c>
      <c r="BA4" s="372" t="str">
        <f>names!$A442</f>
        <v>I kw.
2024</v>
      </c>
      <c r="BB4" s="372" t="str">
        <f>names!$A443</f>
        <v>I kw.
2024
przed odpisem**</v>
      </c>
      <c r="BC4" s="372" t="str">
        <f>names!$A444</f>
        <v>II kw.
2024</v>
      </c>
      <c r="BD4" s="372" t="str">
        <f>names!$A445</f>
        <v>II kw.
2024
przed odpisem**</v>
      </c>
      <c r="BE4" s="372" t="str">
        <f>names!$A446</f>
        <v>III kw.
2024</v>
      </c>
      <c r="BF4" s="372" t="str">
        <f>names!$A447</f>
        <v>III kw.
2024
przed odpisem**</v>
      </c>
      <c r="BG4" s="372" t="str">
        <f>names!$A448</f>
        <v>IV kw.
2024</v>
      </c>
      <c r="BH4" s="372" t="str">
        <f>names!$A449</f>
        <v>IV kw.
2024
przed odpisem**</v>
      </c>
      <c r="BI4" s="372" t="str">
        <f>names!$A450</f>
        <v>12 m-cy
2024</v>
      </c>
      <c r="BJ4" s="372" t="str">
        <f>names!$A451</f>
        <v>12 m-cy
2024
przed odpisem**</v>
      </c>
    </row>
    <row r="5" spans="2:64">
      <c r="B5" s="376" t="str">
        <f>names!$A336</f>
        <v>Rafineria</v>
      </c>
      <c r="C5" s="379">
        <v>499</v>
      </c>
      <c r="D5" s="379">
        <v>499</v>
      </c>
      <c r="E5" s="379">
        <v>850</v>
      </c>
      <c r="F5" s="379">
        <v>851</v>
      </c>
      <c r="G5" s="379">
        <v>1167</v>
      </c>
      <c r="H5" s="379">
        <v>1167</v>
      </c>
      <c r="I5" s="379">
        <v>266</v>
      </c>
      <c r="J5" s="379">
        <v>266</v>
      </c>
      <c r="K5" s="379">
        <v>2782</v>
      </c>
      <c r="L5" s="607">
        <v>2783</v>
      </c>
      <c r="M5" s="379">
        <v>-357</v>
      </c>
      <c r="N5" s="379">
        <v>-353</v>
      </c>
      <c r="O5" s="379">
        <v>610</v>
      </c>
      <c r="P5" s="379">
        <v>614</v>
      </c>
      <c r="Q5" s="379">
        <v>-368</v>
      </c>
      <c r="R5" s="379">
        <v>-370</v>
      </c>
      <c r="S5" s="379">
        <v>-7</v>
      </c>
      <c r="T5" s="379">
        <v>98</v>
      </c>
      <c r="U5" s="379">
        <v>-122</v>
      </c>
      <c r="V5" s="607">
        <v>-11</v>
      </c>
      <c r="W5" s="379">
        <v>20</v>
      </c>
      <c r="X5" s="379">
        <v>22</v>
      </c>
      <c r="Y5" s="379">
        <v>263</v>
      </c>
      <c r="Z5" s="379">
        <v>282</v>
      </c>
      <c r="AA5" s="379">
        <v>1195</v>
      </c>
      <c r="AB5" s="379">
        <v>1198</v>
      </c>
      <c r="AC5" s="379">
        <v>2126</v>
      </c>
      <c r="AD5" s="379">
        <v>2112</v>
      </c>
      <c r="AE5" s="379">
        <v>3604</v>
      </c>
      <c r="AF5" s="607">
        <v>3614</v>
      </c>
      <c r="AG5" s="379">
        <v>875</v>
      </c>
      <c r="AH5" s="379">
        <v>900</v>
      </c>
      <c r="AI5" s="379">
        <v>1845</v>
      </c>
      <c r="AJ5" s="379">
        <v>4656</v>
      </c>
      <c r="AK5" s="379">
        <v>7316</v>
      </c>
      <c r="AL5" s="379">
        <v>7319</v>
      </c>
      <c r="AM5" s="379">
        <v>7611</v>
      </c>
      <c r="AN5" s="379">
        <v>10428</v>
      </c>
      <c r="AO5" s="379">
        <v>17647</v>
      </c>
      <c r="AP5" s="607">
        <v>23303</v>
      </c>
      <c r="AQ5" s="379">
        <v>5485</v>
      </c>
      <c r="AR5" s="379">
        <v>5485</v>
      </c>
      <c r="AS5" s="379">
        <v>2519</v>
      </c>
      <c r="AT5" s="379">
        <v>2536</v>
      </c>
      <c r="AU5" s="379">
        <v>1866</v>
      </c>
      <c r="AV5" s="379">
        <v>1866</v>
      </c>
      <c r="AW5" s="379">
        <v>-554</v>
      </c>
      <c r="AX5" s="379">
        <v>-402</v>
      </c>
      <c r="AY5" s="379">
        <v>9268</v>
      </c>
      <c r="AZ5" s="607">
        <v>9437</v>
      </c>
      <c r="BA5" s="379">
        <v>2270</v>
      </c>
      <c r="BB5" s="379">
        <v>2272</v>
      </c>
      <c r="BC5" s="379">
        <v>2617</v>
      </c>
      <c r="BD5" s="379">
        <v>2622</v>
      </c>
      <c r="BE5" s="379">
        <v>-1831</v>
      </c>
      <c r="BF5" s="379">
        <v>520</v>
      </c>
      <c r="BG5" s="379">
        <v>1471</v>
      </c>
      <c r="BH5" s="379">
        <v>1564</v>
      </c>
      <c r="BI5" s="379">
        <v>5590</v>
      </c>
      <c r="BJ5" s="379">
        <v>7237</v>
      </c>
      <c r="BK5" s="773"/>
      <c r="BL5" s="423"/>
    </row>
    <row r="6" spans="2:64" s="375" customFormat="1">
      <c r="B6" s="488" t="str">
        <f>names!$A337</f>
        <v>efekt LIFO (Rafineria)</v>
      </c>
      <c r="C6" s="381">
        <v>-194</v>
      </c>
      <c r="D6" s="381">
        <v>-194</v>
      </c>
      <c r="E6" s="381">
        <v>228</v>
      </c>
      <c r="F6" s="381">
        <v>228</v>
      </c>
      <c r="G6" s="381">
        <v>-362</v>
      </c>
      <c r="H6" s="381">
        <v>-362</v>
      </c>
      <c r="I6" s="381">
        <v>183</v>
      </c>
      <c r="J6" s="381">
        <v>183</v>
      </c>
      <c r="K6" s="381">
        <v>-145</v>
      </c>
      <c r="L6" s="608">
        <v>-145</v>
      </c>
      <c r="M6" s="381">
        <v>-1946</v>
      </c>
      <c r="N6" s="381">
        <v>-1946</v>
      </c>
      <c r="O6" s="381">
        <v>-526</v>
      </c>
      <c r="P6" s="381">
        <v>-526</v>
      </c>
      <c r="Q6" s="381">
        <v>270</v>
      </c>
      <c r="R6" s="381">
        <v>270</v>
      </c>
      <c r="S6" s="381">
        <v>-78</v>
      </c>
      <c r="T6" s="381">
        <v>-78</v>
      </c>
      <c r="U6" s="381">
        <v>-2280</v>
      </c>
      <c r="V6" s="608">
        <v>-2280</v>
      </c>
      <c r="W6" s="381">
        <v>1074</v>
      </c>
      <c r="X6" s="381">
        <v>1074</v>
      </c>
      <c r="Y6" s="381">
        <v>923</v>
      </c>
      <c r="Z6" s="381">
        <v>923</v>
      </c>
      <c r="AA6" s="381">
        <v>860</v>
      </c>
      <c r="AB6" s="381">
        <v>860</v>
      </c>
      <c r="AC6" s="381">
        <v>1195</v>
      </c>
      <c r="AD6" s="381">
        <v>1195</v>
      </c>
      <c r="AE6" s="381">
        <v>4052</v>
      </c>
      <c r="AF6" s="608">
        <v>4052</v>
      </c>
      <c r="AG6" s="381">
        <v>2079</v>
      </c>
      <c r="AH6" s="381">
        <v>2079</v>
      </c>
      <c r="AI6" s="381">
        <v>1331</v>
      </c>
      <c r="AJ6" s="381">
        <v>1331</v>
      </c>
      <c r="AK6" s="381">
        <v>-479</v>
      </c>
      <c r="AL6" s="381">
        <v>-479</v>
      </c>
      <c r="AM6" s="381">
        <v>-1832</v>
      </c>
      <c r="AN6" s="381">
        <v>-1832</v>
      </c>
      <c r="AO6" s="381">
        <v>1099</v>
      </c>
      <c r="AP6" s="608">
        <v>1099</v>
      </c>
      <c r="AQ6" s="381">
        <v>-1158</v>
      </c>
      <c r="AR6" s="381">
        <v>-1158</v>
      </c>
      <c r="AS6" s="381">
        <v>-350</v>
      </c>
      <c r="AT6" s="381">
        <v>-350</v>
      </c>
      <c r="AU6" s="381">
        <v>1265</v>
      </c>
      <c r="AV6" s="381">
        <v>1265</v>
      </c>
      <c r="AW6" s="381">
        <v>-612</v>
      </c>
      <c r="AX6" s="381">
        <v>-612</v>
      </c>
      <c r="AY6" s="381">
        <v>-855</v>
      </c>
      <c r="AZ6" s="608">
        <v>-855</v>
      </c>
      <c r="BA6" s="381">
        <v>23</v>
      </c>
      <c r="BB6" s="381">
        <v>23</v>
      </c>
      <c r="BC6" s="381">
        <v>39</v>
      </c>
      <c r="BD6" s="381">
        <v>39</v>
      </c>
      <c r="BE6" s="381">
        <v>-323</v>
      </c>
      <c r="BF6" s="381">
        <v>-323</v>
      </c>
      <c r="BG6" s="381">
        <v>-2</v>
      </c>
      <c r="BH6" s="381">
        <v>-2</v>
      </c>
      <c r="BI6" s="381">
        <v>-263</v>
      </c>
      <c r="BJ6" s="381">
        <v>-263</v>
      </c>
      <c r="BK6" s="773"/>
      <c r="BL6" s="423"/>
    </row>
    <row r="7" spans="2:64">
      <c r="B7" s="376" t="str">
        <f>names!$A338</f>
        <v xml:space="preserve">Petrochemia </v>
      </c>
      <c r="C7" s="379">
        <v>701</v>
      </c>
      <c r="D7" s="379">
        <v>708</v>
      </c>
      <c r="E7" s="379">
        <v>703</v>
      </c>
      <c r="F7" s="379">
        <v>708</v>
      </c>
      <c r="G7" s="379">
        <v>712</v>
      </c>
      <c r="H7" s="379">
        <v>721</v>
      </c>
      <c r="I7" s="379">
        <v>149</v>
      </c>
      <c r="J7" s="379">
        <v>177</v>
      </c>
      <c r="K7" s="379">
        <v>2265.0000000000018</v>
      </c>
      <c r="L7" s="609">
        <v>2314.0000000000018</v>
      </c>
      <c r="M7" s="379">
        <v>766</v>
      </c>
      <c r="N7" s="379">
        <v>766</v>
      </c>
      <c r="O7" s="379">
        <v>251</v>
      </c>
      <c r="P7" s="379">
        <v>251</v>
      </c>
      <c r="Q7" s="379">
        <v>501</v>
      </c>
      <c r="R7" s="379">
        <v>502</v>
      </c>
      <c r="S7" s="379">
        <v>781</v>
      </c>
      <c r="T7" s="379">
        <v>790</v>
      </c>
      <c r="U7" s="379">
        <v>2299</v>
      </c>
      <c r="V7" s="609">
        <v>2309</v>
      </c>
      <c r="W7" s="379">
        <v>872</v>
      </c>
      <c r="X7" s="379">
        <v>872</v>
      </c>
      <c r="Y7" s="379">
        <v>1021</v>
      </c>
      <c r="Z7" s="379">
        <v>1021</v>
      </c>
      <c r="AA7" s="379">
        <v>1013</v>
      </c>
      <c r="AB7" s="379">
        <v>1013</v>
      </c>
      <c r="AC7" s="379">
        <v>1419</v>
      </c>
      <c r="AD7" s="379">
        <v>1389</v>
      </c>
      <c r="AE7" s="379">
        <v>4325</v>
      </c>
      <c r="AF7" s="609">
        <v>4295</v>
      </c>
      <c r="AG7" s="379">
        <v>451</v>
      </c>
      <c r="AH7" s="379">
        <v>451</v>
      </c>
      <c r="AI7" s="379">
        <v>1643</v>
      </c>
      <c r="AJ7" s="379">
        <v>1643</v>
      </c>
      <c r="AK7" s="379">
        <v>698</v>
      </c>
      <c r="AL7" s="379">
        <v>698</v>
      </c>
      <c r="AM7" s="379">
        <v>490</v>
      </c>
      <c r="AN7" s="379">
        <v>581</v>
      </c>
      <c r="AO7" s="379">
        <v>3282</v>
      </c>
      <c r="AP7" s="609">
        <v>3373</v>
      </c>
      <c r="AQ7" s="379">
        <v>98</v>
      </c>
      <c r="AR7" s="379">
        <v>98</v>
      </c>
      <c r="AS7" s="379">
        <v>-123</v>
      </c>
      <c r="AT7" s="379">
        <v>-120</v>
      </c>
      <c r="AU7" s="379">
        <v>-136</v>
      </c>
      <c r="AV7" s="379">
        <v>-136</v>
      </c>
      <c r="AW7" s="379">
        <v>-10450</v>
      </c>
      <c r="AX7" s="379">
        <v>-327</v>
      </c>
      <c r="AY7" s="379">
        <v>-10592</v>
      </c>
      <c r="AZ7" s="609">
        <v>-466</v>
      </c>
      <c r="BA7" s="379">
        <v>-662</v>
      </c>
      <c r="BB7" s="379">
        <v>4</v>
      </c>
      <c r="BC7" s="379">
        <v>-640</v>
      </c>
      <c r="BD7" s="379">
        <v>-180</v>
      </c>
      <c r="BE7" s="379">
        <v>-1040</v>
      </c>
      <c r="BF7" s="379">
        <v>-118</v>
      </c>
      <c r="BG7" s="379">
        <v>-744</v>
      </c>
      <c r="BH7" s="379">
        <v>-748</v>
      </c>
      <c r="BI7" s="379">
        <v>-12005</v>
      </c>
      <c r="BJ7" s="379">
        <v>-1088</v>
      </c>
      <c r="BK7" s="773"/>
      <c r="BL7" s="423"/>
    </row>
    <row r="8" spans="2:64" s="375" customFormat="1">
      <c r="B8" s="488" t="str">
        <f>names!$A339</f>
        <v>efekt LIFO (Petrochemia)</v>
      </c>
      <c r="C8" s="381">
        <v>19</v>
      </c>
      <c r="D8" s="381">
        <v>19</v>
      </c>
      <c r="E8" s="381">
        <v>-11</v>
      </c>
      <c r="F8" s="381">
        <v>-11</v>
      </c>
      <c r="G8" s="381">
        <v>-32</v>
      </c>
      <c r="H8" s="381">
        <v>-32</v>
      </c>
      <c r="I8" s="381">
        <v>38</v>
      </c>
      <c r="J8" s="381">
        <v>38</v>
      </c>
      <c r="K8" s="381">
        <v>14</v>
      </c>
      <c r="L8" s="608">
        <v>14</v>
      </c>
      <c r="M8" s="381">
        <v>-126</v>
      </c>
      <c r="N8" s="381">
        <v>-126</v>
      </c>
      <c r="O8" s="381">
        <v>60</v>
      </c>
      <c r="P8" s="381">
        <v>60</v>
      </c>
      <c r="Q8" s="381">
        <v>-3</v>
      </c>
      <c r="R8" s="381">
        <v>-3</v>
      </c>
      <c r="S8" s="381">
        <v>-25</v>
      </c>
      <c r="T8" s="381">
        <v>-25</v>
      </c>
      <c r="U8" s="381">
        <v>-94</v>
      </c>
      <c r="V8" s="608">
        <v>-94</v>
      </c>
      <c r="W8" s="381">
        <v>68</v>
      </c>
      <c r="X8" s="381">
        <v>68</v>
      </c>
      <c r="Y8" s="381">
        <v>40</v>
      </c>
      <c r="Z8" s="381">
        <v>40</v>
      </c>
      <c r="AA8" s="381">
        <v>30</v>
      </c>
      <c r="AB8" s="381">
        <v>30</v>
      </c>
      <c r="AC8" s="381">
        <v>56</v>
      </c>
      <c r="AD8" s="381">
        <v>56</v>
      </c>
      <c r="AE8" s="381">
        <v>194</v>
      </c>
      <c r="AF8" s="608">
        <v>194</v>
      </c>
      <c r="AG8" s="381">
        <v>95</v>
      </c>
      <c r="AH8" s="381">
        <v>95</v>
      </c>
      <c r="AI8" s="381">
        <v>-10</v>
      </c>
      <c r="AJ8" s="381">
        <v>-10</v>
      </c>
      <c r="AK8" s="381">
        <v>-74</v>
      </c>
      <c r="AL8" s="381">
        <v>-74</v>
      </c>
      <c r="AM8" s="381">
        <v>-13</v>
      </c>
      <c r="AN8" s="381">
        <v>-13</v>
      </c>
      <c r="AO8" s="381">
        <v>-2</v>
      </c>
      <c r="AP8" s="608">
        <v>-2</v>
      </c>
      <c r="AQ8" s="381">
        <v>-13</v>
      </c>
      <c r="AR8" s="381">
        <v>-13</v>
      </c>
      <c r="AS8" s="381">
        <v>-34</v>
      </c>
      <c r="AT8" s="381">
        <v>-34</v>
      </c>
      <c r="AU8" s="381">
        <v>18</v>
      </c>
      <c r="AV8" s="381">
        <v>18</v>
      </c>
      <c r="AW8" s="381">
        <v>-15</v>
      </c>
      <c r="AX8" s="381">
        <v>-15</v>
      </c>
      <c r="AY8" s="381">
        <v>-44</v>
      </c>
      <c r="AZ8" s="608">
        <v>-44</v>
      </c>
      <c r="BA8" s="381">
        <v>41</v>
      </c>
      <c r="BB8" s="381">
        <v>41</v>
      </c>
      <c r="BC8" s="381">
        <v>-6</v>
      </c>
      <c r="BD8" s="381">
        <v>-6</v>
      </c>
      <c r="BE8" s="381">
        <v>-1</v>
      </c>
      <c r="BF8" s="381">
        <v>-1</v>
      </c>
      <c r="BG8" s="381">
        <v>-42</v>
      </c>
      <c r="BH8" s="381">
        <v>-42</v>
      </c>
      <c r="BI8" s="381">
        <v>-8</v>
      </c>
      <c r="BJ8" s="381">
        <v>-8</v>
      </c>
      <c r="BK8" s="773"/>
      <c r="BL8" s="423"/>
    </row>
    <row r="9" spans="2:64">
      <c r="B9" s="376" t="str">
        <f>names!$A340</f>
        <v>Energetyka</v>
      </c>
      <c r="C9" s="379">
        <v>238</v>
      </c>
      <c r="D9" s="379">
        <v>242</v>
      </c>
      <c r="E9" s="379">
        <v>432</v>
      </c>
      <c r="F9" s="379">
        <v>432</v>
      </c>
      <c r="G9" s="379">
        <v>514</v>
      </c>
      <c r="H9" s="379">
        <v>514</v>
      </c>
      <c r="I9" s="379">
        <v>379</v>
      </c>
      <c r="J9" s="379">
        <v>382</v>
      </c>
      <c r="K9" s="379">
        <v>1563</v>
      </c>
      <c r="L9" s="609">
        <v>1570</v>
      </c>
      <c r="M9" s="379">
        <v>488</v>
      </c>
      <c r="N9" s="379">
        <v>488</v>
      </c>
      <c r="O9" s="379">
        <v>4819</v>
      </c>
      <c r="P9" s="379">
        <v>4821</v>
      </c>
      <c r="Q9" s="379">
        <v>1021</v>
      </c>
      <c r="R9" s="379">
        <v>1022</v>
      </c>
      <c r="S9" s="379">
        <v>1369</v>
      </c>
      <c r="T9" s="379">
        <v>1371</v>
      </c>
      <c r="U9" s="379">
        <v>7697</v>
      </c>
      <c r="V9" s="609">
        <v>7702</v>
      </c>
      <c r="W9" s="379">
        <v>1259</v>
      </c>
      <c r="X9" s="379">
        <v>1259</v>
      </c>
      <c r="Y9" s="379">
        <v>1153</v>
      </c>
      <c r="Z9" s="379">
        <v>1215</v>
      </c>
      <c r="AA9" s="379">
        <v>1044</v>
      </c>
      <c r="AB9" s="379">
        <v>1042</v>
      </c>
      <c r="AC9" s="379">
        <v>147</v>
      </c>
      <c r="AD9" s="379">
        <v>164</v>
      </c>
      <c r="AE9" s="379">
        <v>3603</v>
      </c>
      <c r="AF9" s="609">
        <v>3680</v>
      </c>
      <c r="AG9" s="379">
        <v>1004</v>
      </c>
      <c r="AH9" s="379">
        <v>1004</v>
      </c>
      <c r="AI9" s="379">
        <v>1161</v>
      </c>
      <c r="AJ9" s="379">
        <v>1176</v>
      </c>
      <c r="AK9" s="379">
        <v>1600</v>
      </c>
      <c r="AL9" s="379">
        <v>1607</v>
      </c>
      <c r="AM9" s="379">
        <v>-70</v>
      </c>
      <c r="AN9" s="379">
        <v>-44</v>
      </c>
      <c r="AO9" s="379">
        <v>3695</v>
      </c>
      <c r="AP9" s="609">
        <v>3743</v>
      </c>
      <c r="AQ9" s="379">
        <v>2874</v>
      </c>
      <c r="AR9" s="379">
        <v>2875</v>
      </c>
      <c r="AS9" s="379">
        <v>552</v>
      </c>
      <c r="AT9" s="379">
        <v>555</v>
      </c>
      <c r="AU9" s="379">
        <v>1344</v>
      </c>
      <c r="AV9" s="379">
        <v>1348</v>
      </c>
      <c r="AW9" s="379">
        <v>9</v>
      </c>
      <c r="AX9" s="379">
        <v>23</v>
      </c>
      <c r="AY9" s="379">
        <v>4872</v>
      </c>
      <c r="AZ9" s="609">
        <v>4894</v>
      </c>
      <c r="BA9" s="379">
        <v>2422</v>
      </c>
      <c r="BB9" s="379">
        <v>2427</v>
      </c>
      <c r="BC9" s="379">
        <v>1963</v>
      </c>
      <c r="BD9" s="379">
        <v>1967</v>
      </c>
      <c r="BE9" s="379">
        <v>914</v>
      </c>
      <c r="BF9" s="379">
        <v>949</v>
      </c>
      <c r="BG9" s="379">
        <v>2231</v>
      </c>
      <c r="BH9" s="379">
        <v>2266</v>
      </c>
      <c r="BI9" s="379">
        <v>7406</v>
      </c>
      <c r="BJ9" s="379">
        <v>7855</v>
      </c>
      <c r="BK9" s="773"/>
      <c r="BL9" s="423"/>
    </row>
    <row r="10" spans="2:64">
      <c r="B10" s="376" t="str">
        <f>names!$A341</f>
        <v xml:space="preserve">Detal </v>
      </c>
      <c r="C10" s="379">
        <v>678</v>
      </c>
      <c r="D10" s="379">
        <v>676</v>
      </c>
      <c r="E10" s="379">
        <v>855</v>
      </c>
      <c r="F10" s="379">
        <v>859</v>
      </c>
      <c r="G10" s="379">
        <v>924</v>
      </c>
      <c r="H10" s="379">
        <v>925</v>
      </c>
      <c r="I10" s="379">
        <v>604</v>
      </c>
      <c r="J10" s="379">
        <v>585</v>
      </c>
      <c r="K10" s="379">
        <v>3061</v>
      </c>
      <c r="L10" s="609">
        <v>3045</v>
      </c>
      <c r="M10" s="379">
        <v>702</v>
      </c>
      <c r="N10" s="379">
        <v>706</v>
      </c>
      <c r="O10" s="379">
        <v>719</v>
      </c>
      <c r="P10" s="379">
        <v>726</v>
      </c>
      <c r="Q10" s="379">
        <v>1033</v>
      </c>
      <c r="R10" s="379">
        <v>1035</v>
      </c>
      <c r="S10" s="379">
        <v>739</v>
      </c>
      <c r="T10" s="379">
        <v>765</v>
      </c>
      <c r="U10" s="379">
        <v>3193</v>
      </c>
      <c r="V10" s="609">
        <v>3232</v>
      </c>
      <c r="W10" s="379">
        <v>546</v>
      </c>
      <c r="X10" s="379">
        <v>548</v>
      </c>
      <c r="Y10" s="379">
        <v>824</v>
      </c>
      <c r="Z10" s="379">
        <v>828</v>
      </c>
      <c r="AA10" s="379">
        <v>946</v>
      </c>
      <c r="AB10" s="379">
        <v>948</v>
      </c>
      <c r="AC10" s="379">
        <v>534</v>
      </c>
      <c r="AD10" s="379">
        <v>573</v>
      </c>
      <c r="AE10" s="379">
        <v>2850</v>
      </c>
      <c r="AF10" s="609">
        <v>2897</v>
      </c>
      <c r="AG10" s="379">
        <v>583</v>
      </c>
      <c r="AH10" s="379">
        <v>585</v>
      </c>
      <c r="AI10" s="379">
        <v>695</v>
      </c>
      <c r="AJ10" s="379">
        <v>697</v>
      </c>
      <c r="AK10" s="379">
        <v>855</v>
      </c>
      <c r="AL10" s="379">
        <v>856</v>
      </c>
      <c r="AM10" s="379">
        <v>624</v>
      </c>
      <c r="AN10" s="379">
        <v>633</v>
      </c>
      <c r="AO10" s="379">
        <v>2757</v>
      </c>
      <c r="AP10" s="609">
        <v>2771</v>
      </c>
      <c r="AQ10" s="379">
        <v>230</v>
      </c>
      <c r="AR10" s="379">
        <v>233</v>
      </c>
      <c r="AS10" s="379">
        <v>661</v>
      </c>
      <c r="AT10" s="379">
        <v>662</v>
      </c>
      <c r="AU10" s="379">
        <v>598</v>
      </c>
      <c r="AV10" s="379">
        <v>600</v>
      </c>
      <c r="AW10" s="379">
        <v>707</v>
      </c>
      <c r="AX10" s="379">
        <v>708</v>
      </c>
      <c r="AY10" s="379">
        <v>2186</v>
      </c>
      <c r="AZ10" s="609">
        <v>2193</v>
      </c>
      <c r="BA10" s="379">
        <v>511</v>
      </c>
      <c r="BB10" s="379">
        <v>511</v>
      </c>
      <c r="BC10" s="379">
        <v>893</v>
      </c>
      <c r="BD10" s="379">
        <v>893</v>
      </c>
      <c r="BE10" s="379">
        <v>1074</v>
      </c>
      <c r="BF10" s="379">
        <v>1077</v>
      </c>
      <c r="BG10" s="379">
        <v>554</v>
      </c>
      <c r="BH10" s="379">
        <v>660</v>
      </c>
      <c r="BI10" s="379">
        <v>2937</v>
      </c>
      <c r="BJ10" s="379">
        <v>3142</v>
      </c>
      <c r="BK10" s="773"/>
      <c r="BL10" s="423"/>
    </row>
    <row r="11" spans="2:64">
      <c r="B11" s="376" t="str">
        <f>names!$A342</f>
        <v xml:space="preserve">Wydobycie </v>
      </c>
      <c r="C11" s="379">
        <v>93</v>
      </c>
      <c r="D11" s="379">
        <v>94</v>
      </c>
      <c r="E11" s="379">
        <v>82</v>
      </c>
      <c r="F11" s="379">
        <v>83</v>
      </c>
      <c r="G11" s="379">
        <v>23</v>
      </c>
      <c r="H11" s="379">
        <v>85</v>
      </c>
      <c r="I11" s="379">
        <v>-34</v>
      </c>
      <c r="J11" s="379">
        <v>33</v>
      </c>
      <c r="K11" s="379">
        <v>164</v>
      </c>
      <c r="L11" s="609">
        <v>295</v>
      </c>
      <c r="M11" s="379">
        <v>-277</v>
      </c>
      <c r="N11" s="379">
        <v>219</v>
      </c>
      <c r="O11" s="379">
        <v>-123</v>
      </c>
      <c r="P11" s="379">
        <v>10</v>
      </c>
      <c r="Q11" s="379">
        <v>54</v>
      </c>
      <c r="R11" s="379">
        <v>44</v>
      </c>
      <c r="S11" s="379">
        <v>-754</v>
      </c>
      <c r="T11" s="379">
        <v>49</v>
      </c>
      <c r="U11" s="379">
        <v>-1100</v>
      </c>
      <c r="V11" s="609">
        <v>322</v>
      </c>
      <c r="W11" s="379">
        <v>14</v>
      </c>
      <c r="X11" s="379">
        <v>14</v>
      </c>
      <c r="Y11" s="379">
        <v>60</v>
      </c>
      <c r="Z11" s="379">
        <v>60</v>
      </c>
      <c r="AA11" s="379">
        <v>130</v>
      </c>
      <c r="AB11" s="379">
        <v>130</v>
      </c>
      <c r="AC11" s="379">
        <v>1101</v>
      </c>
      <c r="AD11" s="379">
        <v>183</v>
      </c>
      <c r="AE11" s="379">
        <v>1305</v>
      </c>
      <c r="AF11" s="609">
        <v>387</v>
      </c>
      <c r="AG11" s="379">
        <v>162</v>
      </c>
      <c r="AH11" s="379">
        <v>162</v>
      </c>
      <c r="AI11" s="379">
        <v>304</v>
      </c>
      <c r="AJ11" s="379">
        <v>336</v>
      </c>
      <c r="AK11" s="379">
        <v>741</v>
      </c>
      <c r="AL11" s="379">
        <v>781</v>
      </c>
      <c r="AM11" s="379">
        <v>6560</v>
      </c>
      <c r="AN11" s="379">
        <v>6670</v>
      </c>
      <c r="AO11" s="379">
        <v>7767</v>
      </c>
      <c r="AP11" s="609">
        <v>7949</v>
      </c>
      <c r="AQ11" s="379">
        <v>41</v>
      </c>
      <c r="AR11" s="379">
        <v>2270</v>
      </c>
      <c r="AS11" s="379">
        <v>-152</v>
      </c>
      <c r="AT11" s="379">
        <v>-111</v>
      </c>
      <c r="AU11" s="379">
        <v>-225</v>
      </c>
      <c r="AV11" s="379">
        <v>-211</v>
      </c>
      <c r="AW11" s="379">
        <v>-3426</v>
      </c>
      <c r="AX11" s="379">
        <v>150</v>
      </c>
      <c r="AY11" s="379">
        <v>-3475</v>
      </c>
      <c r="AZ11" s="609">
        <v>2385</v>
      </c>
      <c r="BA11" s="379">
        <v>-4153</v>
      </c>
      <c r="BB11" s="379">
        <v>-4110</v>
      </c>
      <c r="BC11" s="379">
        <v>-3960</v>
      </c>
      <c r="BD11" s="379">
        <v>-3941</v>
      </c>
      <c r="BE11" s="379">
        <v>3131</v>
      </c>
      <c r="BF11" s="379">
        <v>3312</v>
      </c>
      <c r="BG11" s="379">
        <v>4117</v>
      </c>
      <c r="BH11" s="379">
        <v>4928</v>
      </c>
      <c r="BI11" s="379">
        <v>166</v>
      </c>
      <c r="BJ11" s="379">
        <v>305</v>
      </c>
      <c r="BK11" s="773"/>
      <c r="BL11" s="423"/>
    </row>
    <row r="12" spans="2:64">
      <c r="B12" s="376" t="str">
        <f>names!$A343</f>
        <v>Gaz</v>
      </c>
      <c r="C12" s="379" t="s">
        <v>249</v>
      </c>
      <c r="D12" s="379" t="s">
        <v>249</v>
      </c>
      <c r="E12" s="379" t="s">
        <v>249</v>
      </c>
      <c r="F12" s="379" t="s">
        <v>249</v>
      </c>
      <c r="G12" s="379" t="s">
        <v>249</v>
      </c>
      <c r="H12" s="379" t="s">
        <v>249</v>
      </c>
      <c r="I12" s="379" t="s">
        <v>249</v>
      </c>
      <c r="J12" s="379" t="s">
        <v>249</v>
      </c>
      <c r="K12" s="379" t="s">
        <v>249</v>
      </c>
      <c r="L12" s="609" t="s">
        <v>249</v>
      </c>
      <c r="M12" s="379" t="s">
        <v>249</v>
      </c>
      <c r="N12" s="379" t="s">
        <v>249</v>
      </c>
      <c r="O12" s="379" t="s">
        <v>249</v>
      </c>
      <c r="P12" s="379" t="s">
        <v>249</v>
      </c>
      <c r="Q12" s="379" t="s">
        <v>249</v>
      </c>
      <c r="R12" s="379" t="s">
        <v>249</v>
      </c>
      <c r="S12" s="379" t="s">
        <v>249</v>
      </c>
      <c r="T12" s="379" t="s">
        <v>249</v>
      </c>
      <c r="U12" s="379" t="s">
        <v>249</v>
      </c>
      <c r="V12" s="609" t="s">
        <v>249</v>
      </c>
      <c r="W12" s="379" t="s">
        <v>249</v>
      </c>
      <c r="X12" s="379" t="s">
        <v>249</v>
      </c>
      <c r="Y12" s="379" t="s">
        <v>249</v>
      </c>
      <c r="Z12" s="379" t="s">
        <v>249</v>
      </c>
      <c r="AA12" s="379" t="s">
        <v>249</v>
      </c>
      <c r="AB12" s="379" t="s">
        <v>249</v>
      </c>
      <c r="AC12" s="379" t="s">
        <v>249</v>
      </c>
      <c r="AD12" s="379" t="s">
        <v>249</v>
      </c>
      <c r="AE12" s="379" t="s">
        <v>249</v>
      </c>
      <c r="AF12" s="609" t="s">
        <v>249</v>
      </c>
      <c r="AG12" s="379" t="s">
        <v>249</v>
      </c>
      <c r="AH12" s="379" t="s">
        <v>249</v>
      </c>
      <c r="AI12" s="379" t="s">
        <v>249</v>
      </c>
      <c r="AJ12" s="379" t="s">
        <v>249</v>
      </c>
      <c r="AK12" s="379" t="s">
        <v>249</v>
      </c>
      <c r="AL12" s="379" t="s">
        <v>249</v>
      </c>
      <c r="AM12" s="379">
        <v>6001</v>
      </c>
      <c r="AN12" s="379">
        <v>6045</v>
      </c>
      <c r="AO12" s="379">
        <v>6001</v>
      </c>
      <c r="AP12" s="609">
        <v>6045</v>
      </c>
      <c r="AQ12" s="379">
        <v>9390</v>
      </c>
      <c r="AR12" s="379">
        <v>9390</v>
      </c>
      <c r="AS12" s="379">
        <v>7827</v>
      </c>
      <c r="AT12" s="379">
        <v>7839</v>
      </c>
      <c r="AU12" s="379">
        <v>6237</v>
      </c>
      <c r="AV12" s="379">
        <v>7239</v>
      </c>
      <c r="AW12" s="379">
        <v>21316</v>
      </c>
      <c r="AX12" s="379">
        <v>21317</v>
      </c>
      <c r="AY12" s="379">
        <v>45783</v>
      </c>
      <c r="AZ12" s="609">
        <v>45802</v>
      </c>
      <c r="BA12" s="379">
        <v>7925</v>
      </c>
      <c r="BB12" s="379">
        <v>7927</v>
      </c>
      <c r="BC12" s="379">
        <v>4146</v>
      </c>
      <c r="BD12" s="379">
        <v>4178</v>
      </c>
      <c r="BE12" s="379">
        <v>3462</v>
      </c>
      <c r="BF12" s="379">
        <v>3462</v>
      </c>
      <c r="BG12" s="379">
        <v>4328</v>
      </c>
      <c r="BH12" s="379">
        <v>4405</v>
      </c>
      <c r="BI12" s="379">
        <v>20066</v>
      </c>
      <c r="BJ12" s="379">
        <v>20177</v>
      </c>
      <c r="BK12" s="773"/>
      <c r="BL12" s="423"/>
    </row>
    <row r="13" spans="2:64">
      <c r="B13" s="376" t="str">
        <f>names!$A344</f>
        <v>Corporate functions</v>
      </c>
      <c r="C13" s="379">
        <v>-205</v>
      </c>
      <c r="D13" s="379">
        <v>-205</v>
      </c>
      <c r="E13" s="379">
        <v>-207</v>
      </c>
      <c r="F13" s="379">
        <v>-201</v>
      </c>
      <c r="G13" s="379">
        <v>-246</v>
      </c>
      <c r="H13" s="379">
        <v>-245</v>
      </c>
      <c r="I13" s="379">
        <v>-184</v>
      </c>
      <c r="J13" s="379">
        <v>-184</v>
      </c>
      <c r="K13" s="379">
        <v>-842</v>
      </c>
      <c r="L13" s="609">
        <v>-835</v>
      </c>
      <c r="M13" s="379">
        <v>-219</v>
      </c>
      <c r="N13" s="379">
        <v>-219</v>
      </c>
      <c r="O13" s="379">
        <v>-347</v>
      </c>
      <c r="P13" s="379">
        <v>-347</v>
      </c>
      <c r="Q13" s="379">
        <v>-263</v>
      </c>
      <c r="R13" s="379">
        <v>-263</v>
      </c>
      <c r="S13" s="379">
        <v>-299</v>
      </c>
      <c r="T13" s="379">
        <v>-295</v>
      </c>
      <c r="U13" s="379">
        <v>-1128</v>
      </c>
      <c r="V13" s="609">
        <v>-1124</v>
      </c>
      <c r="W13" s="379">
        <v>-290</v>
      </c>
      <c r="X13" s="379">
        <v>-290</v>
      </c>
      <c r="Y13" s="379">
        <v>-235</v>
      </c>
      <c r="Z13" s="379">
        <v>-235</v>
      </c>
      <c r="AA13" s="379">
        <v>-32</v>
      </c>
      <c r="AB13" s="379">
        <v>-32</v>
      </c>
      <c r="AC13" s="379">
        <v>-165</v>
      </c>
      <c r="AD13" s="379">
        <v>-162</v>
      </c>
      <c r="AE13" s="379">
        <v>-722</v>
      </c>
      <c r="AF13" s="609">
        <v>-719</v>
      </c>
      <c r="AG13" s="379">
        <v>-316</v>
      </c>
      <c r="AH13" s="379">
        <v>-316</v>
      </c>
      <c r="AI13" s="379">
        <v>-304</v>
      </c>
      <c r="AJ13" s="379">
        <v>-304</v>
      </c>
      <c r="AK13" s="379">
        <v>8227</v>
      </c>
      <c r="AL13" s="379">
        <v>8229</v>
      </c>
      <c r="AM13" s="379">
        <v>6232</v>
      </c>
      <c r="AN13" s="379">
        <v>6239</v>
      </c>
      <c r="AO13" s="379">
        <v>13839</v>
      </c>
      <c r="AP13" s="609">
        <v>13848</v>
      </c>
      <c r="AQ13" s="379">
        <v>-399</v>
      </c>
      <c r="AR13" s="379">
        <v>-399</v>
      </c>
      <c r="AS13" s="379">
        <v>-438</v>
      </c>
      <c r="AT13" s="379">
        <v>-438</v>
      </c>
      <c r="AU13" s="379">
        <v>-431</v>
      </c>
      <c r="AV13" s="379">
        <v>-431</v>
      </c>
      <c r="AW13" s="379">
        <v>-378</v>
      </c>
      <c r="AX13" s="379">
        <v>-368</v>
      </c>
      <c r="AY13" s="379">
        <v>-1625</v>
      </c>
      <c r="AZ13" s="609">
        <v>-1615</v>
      </c>
      <c r="BA13" s="379">
        <v>-644</v>
      </c>
      <c r="BB13" s="379">
        <v>-644</v>
      </c>
      <c r="BC13" s="379">
        <v>-457</v>
      </c>
      <c r="BD13" s="379">
        <v>-456</v>
      </c>
      <c r="BE13" s="379">
        <v>-426</v>
      </c>
      <c r="BF13" s="379">
        <v>-394</v>
      </c>
      <c r="BG13" s="379">
        <v>-430</v>
      </c>
      <c r="BH13" s="379">
        <v>-419</v>
      </c>
      <c r="BI13" s="379">
        <v>-1946</v>
      </c>
      <c r="BJ13" s="379">
        <v>-1899</v>
      </c>
      <c r="BK13" s="773"/>
      <c r="BL13" s="423"/>
    </row>
    <row r="14" spans="2:64" ht="12" thickBot="1">
      <c r="B14" s="377" t="str">
        <f>names!$A345</f>
        <v>Wyłączenia</v>
      </c>
      <c r="C14" s="383">
        <v>0</v>
      </c>
      <c r="D14" s="383">
        <v>0</v>
      </c>
      <c r="E14" s="383">
        <v>0</v>
      </c>
      <c r="F14" s="383">
        <v>0</v>
      </c>
      <c r="G14" s="383">
        <v>0</v>
      </c>
      <c r="H14" s="383">
        <v>0</v>
      </c>
      <c r="I14" s="383">
        <v>0</v>
      </c>
      <c r="J14" s="383">
        <v>0</v>
      </c>
      <c r="K14" s="383">
        <v>0</v>
      </c>
      <c r="L14" s="610">
        <v>0</v>
      </c>
      <c r="M14" s="383">
        <v>0</v>
      </c>
      <c r="N14" s="383">
        <v>0</v>
      </c>
      <c r="O14" s="383">
        <v>0</v>
      </c>
      <c r="P14" s="383">
        <v>0</v>
      </c>
      <c r="Q14" s="383">
        <v>0</v>
      </c>
      <c r="R14" s="383">
        <v>0</v>
      </c>
      <c r="S14" s="383">
        <v>0</v>
      </c>
      <c r="T14" s="383">
        <v>0</v>
      </c>
      <c r="U14" s="383">
        <v>0</v>
      </c>
      <c r="V14" s="610">
        <v>0</v>
      </c>
      <c r="W14" s="383">
        <v>0</v>
      </c>
      <c r="X14" s="383">
        <v>0</v>
      </c>
      <c r="Y14" s="383">
        <v>0</v>
      </c>
      <c r="Z14" s="383">
        <v>0</v>
      </c>
      <c r="AA14" s="383">
        <v>0</v>
      </c>
      <c r="AB14" s="383">
        <v>0</v>
      </c>
      <c r="AC14" s="383">
        <v>0</v>
      </c>
      <c r="AD14" s="383">
        <v>0</v>
      </c>
      <c r="AE14" s="383">
        <v>0</v>
      </c>
      <c r="AF14" s="610">
        <v>0</v>
      </c>
      <c r="AG14" s="383">
        <v>0</v>
      </c>
      <c r="AH14" s="383">
        <v>0</v>
      </c>
      <c r="AI14" s="383">
        <v>0</v>
      </c>
      <c r="AJ14" s="383">
        <v>0</v>
      </c>
      <c r="AK14" s="383">
        <v>-5</v>
      </c>
      <c r="AL14" s="383">
        <v>-5</v>
      </c>
      <c r="AM14" s="383">
        <v>-6</v>
      </c>
      <c r="AN14" s="383">
        <v>-6</v>
      </c>
      <c r="AO14" s="383">
        <v>-11</v>
      </c>
      <c r="AP14" s="610">
        <v>-11</v>
      </c>
      <c r="AQ14" s="383">
        <v>-8</v>
      </c>
      <c r="AR14" s="383">
        <v>-8</v>
      </c>
      <c r="AS14" s="383">
        <v>11</v>
      </c>
      <c r="AT14" s="383">
        <v>11</v>
      </c>
      <c r="AU14" s="383">
        <v>-17</v>
      </c>
      <c r="AV14" s="383">
        <v>-17</v>
      </c>
      <c r="AW14" s="383">
        <v>10</v>
      </c>
      <c r="AX14" s="383">
        <v>10</v>
      </c>
      <c r="AY14" s="383">
        <v>-4</v>
      </c>
      <c r="AZ14" s="610">
        <v>-4</v>
      </c>
      <c r="BA14" s="383">
        <v>-3</v>
      </c>
      <c r="BB14" s="383">
        <v>-3</v>
      </c>
      <c r="BC14" s="383">
        <v>21</v>
      </c>
      <c r="BD14" s="383">
        <v>21</v>
      </c>
      <c r="BE14" s="383">
        <v>0</v>
      </c>
      <c r="BF14" s="383">
        <v>0</v>
      </c>
      <c r="BG14" s="383">
        <v>0</v>
      </c>
      <c r="BH14" s="383">
        <v>0</v>
      </c>
      <c r="BI14" s="383">
        <v>18</v>
      </c>
      <c r="BJ14" s="383">
        <v>18</v>
      </c>
      <c r="BK14" s="773"/>
      <c r="BL14" s="423"/>
    </row>
    <row r="15" spans="2:64" ht="12" thickBot="1">
      <c r="B15" s="413" t="str">
        <f>names!$A346</f>
        <v>EBITDA LIFO</v>
      </c>
      <c r="C15" s="412">
        <v>2004</v>
      </c>
      <c r="D15" s="412">
        <v>2014</v>
      </c>
      <c r="E15" s="412">
        <v>2715</v>
      </c>
      <c r="F15" s="412">
        <v>2732</v>
      </c>
      <c r="G15" s="412">
        <v>3094</v>
      </c>
      <c r="H15" s="412">
        <v>3167</v>
      </c>
      <c r="I15" s="412">
        <v>1180</v>
      </c>
      <c r="J15" s="412">
        <v>1259</v>
      </c>
      <c r="K15" s="412">
        <v>8993.0000000000018</v>
      </c>
      <c r="L15" s="611">
        <v>9172.0000000000018</v>
      </c>
      <c r="M15" s="412">
        <v>1103</v>
      </c>
      <c r="N15" s="412">
        <v>1607</v>
      </c>
      <c r="O15" s="412">
        <v>5929</v>
      </c>
      <c r="P15" s="412">
        <v>6075</v>
      </c>
      <c r="Q15" s="412">
        <v>1978</v>
      </c>
      <c r="R15" s="412">
        <v>1970</v>
      </c>
      <c r="S15" s="412">
        <v>1829</v>
      </c>
      <c r="T15" s="412">
        <v>2778</v>
      </c>
      <c r="U15" s="412">
        <v>10839</v>
      </c>
      <c r="V15" s="611">
        <v>12430</v>
      </c>
      <c r="W15" s="412">
        <v>2421</v>
      </c>
      <c r="X15" s="412">
        <v>2425</v>
      </c>
      <c r="Y15" s="412">
        <v>3086</v>
      </c>
      <c r="Z15" s="412">
        <v>3171</v>
      </c>
      <c r="AA15" s="412">
        <v>4296</v>
      </c>
      <c r="AB15" s="412">
        <v>4299</v>
      </c>
      <c r="AC15" s="412">
        <v>5162</v>
      </c>
      <c r="AD15" s="412">
        <v>4259</v>
      </c>
      <c r="AE15" s="412">
        <v>14965</v>
      </c>
      <c r="AF15" s="611">
        <v>14154</v>
      </c>
      <c r="AG15" s="412">
        <v>2759</v>
      </c>
      <c r="AH15" s="412">
        <v>2786</v>
      </c>
      <c r="AI15" s="412">
        <v>5344</v>
      </c>
      <c r="AJ15" s="412">
        <v>8204</v>
      </c>
      <c r="AK15" s="412">
        <v>19432</v>
      </c>
      <c r="AL15" s="412">
        <v>19485</v>
      </c>
      <c r="AM15" s="412">
        <v>27442</v>
      </c>
      <c r="AN15" s="412">
        <v>30546</v>
      </c>
      <c r="AO15" s="412">
        <v>54977</v>
      </c>
      <c r="AP15" s="611">
        <v>61021</v>
      </c>
      <c r="AQ15" s="412">
        <v>17711</v>
      </c>
      <c r="AR15" s="412">
        <v>19944</v>
      </c>
      <c r="AS15" s="412">
        <v>10857</v>
      </c>
      <c r="AT15" s="412">
        <v>10934</v>
      </c>
      <c r="AU15" s="412">
        <v>9236</v>
      </c>
      <c r="AV15" s="412">
        <v>10258</v>
      </c>
      <c r="AW15" s="412">
        <v>7234</v>
      </c>
      <c r="AX15" s="412">
        <v>21111</v>
      </c>
      <c r="AY15" s="412">
        <v>46413</v>
      </c>
      <c r="AZ15" s="611">
        <v>62626</v>
      </c>
      <c r="BA15" s="412">
        <v>7666</v>
      </c>
      <c r="BB15" s="412">
        <v>8384</v>
      </c>
      <c r="BC15" s="412">
        <v>4583</v>
      </c>
      <c r="BD15" s="412">
        <v>5104</v>
      </c>
      <c r="BE15" s="412">
        <v>5284</v>
      </c>
      <c r="BF15" s="412">
        <v>8808</v>
      </c>
      <c r="BG15" s="412">
        <v>11527</v>
      </c>
      <c r="BH15" s="412">
        <v>12656</v>
      </c>
      <c r="BI15" s="412">
        <v>22232</v>
      </c>
      <c r="BJ15" s="412">
        <v>35747</v>
      </c>
      <c r="BK15" s="773"/>
      <c r="BL15" s="423"/>
    </row>
    <row r="16" spans="2:64">
      <c r="B16" s="375"/>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c r="BG16" s="378"/>
      <c r="BH16" s="378"/>
      <c r="BI16" s="378"/>
      <c r="BJ16" s="378"/>
    </row>
    <row r="17" spans="2:64">
      <c r="B17" s="375"/>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c r="AK17" s="418"/>
      <c r="AL17" s="418"/>
      <c r="AM17" s="418"/>
      <c r="AN17" s="418"/>
      <c r="AO17" s="418"/>
      <c r="AP17" s="418"/>
      <c r="AQ17" s="418"/>
      <c r="AR17" s="418"/>
      <c r="AS17" s="418"/>
      <c r="AT17" s="418"/>
      <c r="AU17" s="418"/>
      <c r="AV17" s="418"/>
      <c r="AW17" s="418"/>
      <c r="AX17" s="418"/>
      <c r="AY17" s="418"/>
      <c r="AZ17" s="418"/>
      <c r="BA17" s="418"/>
      <c r="BB17" s="418"/>
      <c r="BC17" s="418"/>
      <c r="BD17" s="418"/>
      <c r="BE17" s="418"/>
      <c r="BF17" s="418"/>
      <c r="BG17" s="418"/>
      <c r="BH17" s="418"/>
      <c r="BI17" s="418"/>
      <c r="BJ17" s="418"/>
    </row>
    <row r="18" spans="2:64">
      <c r="B18" s="375"/>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8"/>
      <c r="AL18" s="418"/>
      <c r="AM18" s="418"/>
      <c r="AN18" s="418"/>
      <c r="AO18" s="418"/>
      <c r="AP18" s="418"/>
      <c r="AQ18" s="418"/>
      <c r="AR18" s="418"/>
      <c r="AS18" s="418"/>
      <c r="AT18" s="418"/>
      <c r="AU18" s="418"/>
      <c r="AV18" s="418"/>
      <c r="AW18" s="418"/>
      <c r="AX18" s="418"/>
      <c r="AY18" s="418"/>
      <c r="AZ18" s="418"/>
      <c r="BA18" s="418"/>
      <c r="BB18" s="418"/>
      <c r="BC18" s="418"/>
      <c r="BD18" s="418"/>
      <c r="BE18" s="418"/>
      <c r="BF18" s="418"/>
      <c r="BG18" s="418"/>
      <c r="BH18" s="418"/>
      <c r="BI18" s="418"/>
      <c r="BJ18" s="418"/>
    </row>
    <row r="19" spans="2:64" ht="15.75">
      <c r="B19" s="396" t="str">
        <f>names!$A350</f>
        <v>Amortyzacja</v>
      </c>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378"/>
      <c r="BG19" s="378"/>
      <c r="BH19" s="378"/>
      <c r="BI19" s="378"/>
      <c r="BJ19" s="378"/>
    </row>
    <row r="20" spans="2:64" ht="9.75" customHeight="1">
      <c r="B20" s="375"/>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8"/>
      <c r="AN20" s="378"/>
      <c r="AO20" s="378"/>
      <c r="AP20" s="378"/>
      <c r="AQ20" s="378"/>
      <c r="AR20" s="378"/>
      <c r="AS20" s="378"/>
      <c r="AT20" s="378"/>
      <c r="AU20" s="378"/>
      <c r="AV20" s="378"/>
      <c r="AW20" s="378"/>
      <c r="AX20" s="378"/>
      <c r="AY20" s="378"/>
      <c r="AZ20" s="378"/>
      <c r="BA20" s="378"/>
      <c r="BB20" s="378"/>
      <c r="BC20" s="378"/>
      <c r="BD20" s="378"/>
      <c r="BE20" s="378"/>
      <c r="BF20" s="378"/>
      <c r="BG20" s="378"/>
      <c r="BH20" s="378"/>
      <c r="BI20" s="378"/>
      <c r="BJ20" s="378"/>
    </row>
    <row r="21" spans="2:64" ht="55.5" customHeight="1">
      <c r="B21" s="372" t="str">
        <f>names!$A352</f>
        <v>Wyszczególnienie, 
mln PLN</v>
      </c>
      <c r="C21" s="372" t="str">
        <f t="shared" ref="C21:L21" si="0">C$4</f>
        <v>I kw.
2019*</v>
      </c>
      <c r="D21" s="372" t="str">
        <f t="shared" si="0"/>
        <v>I kw.
2019
przed odpisem*,**</v>
      </c>
      <c r="E21" s="372" t="str">
        <f t="shared" si="0"/>
        <v>II kw.
2019*</v>
      </c>
      <c r="F21" s="372" t="str">
        <f t="shared" si="0"/>
        <v>II kw.
2019
przed odpisem**</v>
      </c>
      <c r="G21" s="372" t="str">
        <f t="shared" si="0"/>
        <v>III kw.
2019*</v>
      </c>
      <c r="H21" s="372" t="str">
        <f t="shared" si="0"/>
        <v>III kw.
2019
przed odpisem*,**</v>
      </c>
      <c r="I21" s="372" t="str">
        <f t="shared" si="0"/>
        <v>IV kw.
2019*</v>
      </c>
      <c r="J21" s="372" t="str">
        <f t="shared" si="0"/>
        <v>IV kw.
2019
przed odpisem*,**</v>
      </c>
      <c r="K21" s="372" t="str">
        <f t="shared" si="0"/>
        <v>12 m-cy
2019*</v>
      </c>
      <c r="L21" s="372" t="str">
        <f t="shared" si="0"/>
        <v>12 m-cy
2019
przed odpisem*,**</v>
      </c>
      <c r="M21" s="372" t="str">
        <f t="shared" ref="M21:BJ21" si="1">M$4</f>
        <v>I kw.
2020*</v>
      </c>
      <c r="N21" s="372" t="str">
        <f t="shared" si="1"/>
        <v>I kw.
2020
przed odpisem*,**</v>
      </c>
      <c r="O21" s="372" t="str">
        <f t="shared" si="1"/>
        <v>II kw.
2020</v>
      </c>
      <c r="P21" s="372" t="str">
        <f t="shared" si="1"/>
        <v>II kw.
2020
przed odpisem**</v>
      </c>
      <c r="Q21" s="372" t="str">
        <f t="shared" si="1"/>
        <v>III kw.
2020</v>
      </c>
      <c r="R21" s="372" t="str">
        <f t="shared" si="1"/>
        <v>III kw.
2020
przed odpisem**</v>
      </c>
      <c r="S21" s="372" t="str">
        <f t="shared" si="1"/>
        <v>IV kw.
2020</v>
      </c>
      <c r="T21" s="372" t="str">
        <f t="shared" si="1"/>
        <v>IV kw.
2020
przed odpisem**</v>
      </c>
      <c r="U21" s="372" t="str">
        <f t="shared" si="1"/>
        <v>12 m-cy
2020</v>
      </c>
      <c r="V21" s="372" t="str">
        <f t="shared" si="1"/>
        <v>12 m-cy
2020
przed odpisem**</v>
      </c>
      <c r="W21" s="372" t="str">
        <f t="shared" si="1"/>
        <v>I kw.
2021</v>
      </c>
      <c r="X21" s="372" t="str">
        <f t="shared" si="1"/>
        <v>I kw.
2021
przed odpisem**</v>
      </c>
      <c r="Y21" s="372" t="str">
        <f t="shared" si="1"/>
        <v>II kw.
2021</v>
      </c>
      <c r="Z21" s="372" t="str">
        <f t="shared" si="1"/>
        <v>II kw.
2021
przed odpisem**</v>
      </c>
      <c r="AA21" s="372" t="str">
        <f t="shared" si="1"/>
        <v>III kw.
2021</v>
      </c>
      <c r="AB21" s="372" t="str">
        <f t="shared" si="1"/>
        <v>III kw.
2021
przed odpisem**</v>
      </c>
      <c r="AC21" s="372" t="str">
        <f t="shared" si="1"/>
        <v>IV kw.
2021</v>
      </c>
      <c r="AD21" s="372" t="str">
        <f t="shared" si="1"/>
        <v>IV kw.
2021
przed odpisem**</v>
      </c>
      <c r="AE21" s="372" t="str">
        <f t="shared" si="1"/>
        <v>12 m-cy
2021</v>
      </c>
      <c r="AF21" s="372" t="str">
        <f>AF$4</f>
        <v>12 m-cy
2021
przed odpisem**</v>
      </c>
      <c r="AG21" s="372" t="str">
        <f t="shared" si="1"/>
        <v>I kw.
2022</v>
      </c>
      <c r="AH21" s="372" t="str">
        <f t="shared" si="1"/>
        <v>I kw.
2022
przed odpisem**</v>
      </c>
      <c r="AI21" s="372" t="str">
        <f t="shared" si="1"/>
        <v>II kw.
2022</v>
      </c>
      <c r="AJ21" s="372" t="str">
        <f t="shared" si="1"/>
        <v>II kw.
2022
przed odpisem**</v>
      </c>
      <c r="AK21" s="372" t="str">
        <f t="shared" si="1"/>
        <v>III kw.
2022</v>
      </c>
      <c r="AL21" s="372" t="str">
        <f t="shared" si="1"/>
        <v>III kw.
2022
przed odpisem**</v>
      </c>
      <c r="AM21" s="372" t="str">
        <f t="shared" si="1"/>
        <v>IV kw.
2022</v>
      </c>
      <c r="AN21" s="372" t="str">
        <f t="shared" si="1"/>
        <v>IV kw.
2022
przed odpisem**</v>
      </c>
      <c r="AO21" s="372" t="str">
        <f>AO$4</f>
        <v>12 m-cy
2022</v>
      </c>
      <c r="AP21" s="372" t="str">
        <f t="shared" si="1"/>
        <v>12 m-cy
2022
przed odpisem**</v>
      </c>
      <c r="AQ21" s="372" t="str">
        <f t="shared" si="1"/>
        <v>I kw.
2023</v>
      </c>
      <c r="AR21" s="372" t="str">
        <f t="shared" si="1"/>
        <v>I kw.
2023
przed odpisem**</v>
      </c>
      <c r="AS21" s="372" t="str">
        <f t="shared" si="1"/>
        <v>II kw.
2023</v>
      </c>
      <c r="AT21" s="372" t="str">
        <f t="shared" si="1"/>
        <v>II kw.
2023
przed odpisem**</v>
      </c>
      <c r="AU21" s="372" t="str">
        <f t="shared" si="1"/>
        <v>III kw.
2023</v>
      </c>
      <c r="AV21" s="372" t="str">
        <f t="shared" si="1"/>
        <v>III kw.
2023
przed odpisem**</v>
      </c>
      <c r="AW21" s="372" t="str">
        <f t="shared" si="1"/>
        <v>IV kw.
2023</v>
      </c>
      <c r="AX21" s="372" t="str">
        <f t="shared" si="1"/>
        <v>IV kw.
2023
przed odpisem**</v>
      </c>
      <c r="AY21" s="372" t="str">
        <f>AY$4</f>
        <v>12 m-cy
2023</v>
      </c>
      <c r="AZ21" s="372" t="str">
        <f t="shared" si="1"/>
        <v>12 m-cy
2023
przed odpisem**</v>
      </c>
      <c r="BA21" s="372" t="str">
        <f t="shared" si="1"/>
        <v>I kw.
2024</v>
      </c>
      <c r="BB21" s="372" t="str">
        <f t="shared" si="1"/>
        <v>I kw.
2024
przed odpisem**</v>
      </c>
      <c r="BC21" s="372" t="str">
        <f t="shared" si="1"/>
        <v>II kw.
2024</v>
      </c>
      <c r="BD21" s="372" t="str">
        <f t="shared" si="1"/>
        <v>II kw.
2024
przed odpisem**</v>
      </c>
      <c r="BE21" s="372" t="str">
        <f t="shared" si="1"/>
        <v>III kw.
2024</v>
      </c>
      <c r="BF21" s="372" t="str">
        <f t="shared" si="1"/>
        <v>III kw.
2024
przed odpisem**</v>
      </c>
      <c r="BG21" s="372" t="str">
        <f t="shared" si="1"/>
        <v>IV kw.
2024</v>
      </c>
      <c r="BH21" s="372" t="str">
        <f t="shared" si="1"/>
        <v>IV kw.
2024
przed odpisem**</v>
      </c>
      <c r="BI21" s="372" t="str">
        <f t="shared" si="1"/>
        <v>12 m-cy
2024</v>
      </c>
      <c r="BJ21" s="372" t="str">
        <f t="shared" si="1"/>
        <v>12 m-cy
2024
przed odpisem**</v>
      </c>
    </row>
    <row r="22" spans="2:64">
      <c r="B22" s="376" t="str">
        <f>names!$A353</f>
        <v>Rafineria</v>
      </c>
      <c r="C22" s="379">
        <v>273</v>
      </c>
      <c r="D22" s="379">
        <v>273</v>
      </c>
      <c r="E22" s="379">
        <v>285</v>
      </c>
      <c r="F22" s="379">
        <v>285</v>
      </c>
      <c r="G22" s="379">
        <v>282</v>
      </c>
      <c r="H22" s="379">
        <v>282</v>
      </c>
      <c r="I22" s="379">
        <v>295</v>
      </c>
      <c r="J22" s="379">
        <v>294</v>
      </c>
      <c r="K22" s="379">
        <v>1135</v>
      </c>
      <c r="L22" s="607">
        <v>1134</v>
      </c>
      <c r="M22" s="379">
        <v>280</v>
      </c>
      <c r="N22" s="379">
        <v>280</v>
      </c>
      <c r="O22" s="379">
        <v>290</v>
      </c>
      <c r="P22" s="379">
        <v>290</v>
      </c>
      <c r="Q22" s="379">
        <v>285</v>
      </c>
      <c r="R22" s="379">
        <v>285</v>
      </c>
      <c r="S22" s="379">
        <v>332</v>
      </c>
      <c r="T22" s="379">
        <v>332</v>
      </c>
      <c r="U22" s="379">
        <v>1187</v>
      </c>
      <c r="V22" s="607">
        <v>1187</v>
      </c>
      <c r="W22" s="379">
        <v>329</v>
      </c>
      <c r="X22" s="379">
        <v>329</v>
      </c>
      <c r="Y22" s="379">
        <v>332</v>
      </c>
      <c r="Z22" s="379">
        <v>332</v>
      </c>
      <c r="AA22" s="379">
        <v>338</v>
      </c>
      <c r="AB22" s="379">
        <v>338</v>
      </c>
      <c r="AC22" s="379">
        <v>368</v>
      </c>
      <c r="AD22" s="379">
        <v>368</v>
      </c>
      <c r="AE22" s="379">
        <v>1367</v>
      </c>
      <c r="AF22" s="607">
        <v>1367</v>
      </c>
      <c r="AG22" s="379">
        <v>366</v>
      </c>
      <c r="AH22" s="379">
        <v>366</v>
      </c>
      <c r="AI22" s="379">
        <v>367</v>
      </c>
      <c r="AJ22" s="379">
        <v>367</v>
      </c>
      <c r="AK22" s="379">
        <v>364</v>
      </c>
      <c r="AL22" s="379">
        <v>364</v>
      </c>
      <c r="AM22" s="379">
        <v>393</v>
      </c>
      <c r="AN22" s="379">
        <v>393</v>
      </c>
      <c r="AO22" s="379">
        <v>1490</v>
      </c>
      <c r="AP22" s="607">
        <v>1490</v>
      </c>
      <c r="AQ22" s="379">
        <v>365</v>
      </c>
      <c r="AR22" s="379">
        <v>365</v>
      </c>
      <c r="AS22" s="379">
        <v>384</v>
      </c>
      <c r="AT22" s="379">
        <v>384</v>
      </c>
      <c r="AU22" s="379">
        <v>366</v>
      </c>
      <c r="AV22" s="379">
        <v>366</v>
      </c>
      <c r="AW22" s="379">
        <v>378</v>
      </c>
      <c r="AX22" s="379">
        <v>378</v>
      </c>
      <c r="AY22" s="379">
        <f t="shared" ref="AY22:AZ22" si="2">AY5-AY35</f>
        <v>1493</v>
      </c>
      <c r="AZ22" s="607">
        <f t="shared" si="2"/>
        <v>1493</v>
      </c>
      <c r="BA22" s="379">
        <v>395</v>
      </c>
      <c r="BB22" s="379">
        <v>395</v>
      </c>
      <c r="BC22" s="379">
        <v>422</v>
      </c>
      <c r="BD22" s="379">
        <v>422</v>
      </c>
      <c r="BE22" s="379">
        <v>433</v>
      </c>
      <c r="BF22" s="379">
        <v>433</v>
      </c>
      <c r="BG22" s="379">
        <v>445</v>
      </c>
      <c r="BH22" s="379">
        <v>445</v>
      </c>
      <c r="BI22" s="379">
        <f t="shared" ref="BI22:BJ22" si="3">BI5-BI35</f>
        <v>1729</v>
      </c>
      <c r="BJ22" s="379">
        <f t="shared" si="3"/>
        <v>1729</v>
      </c>
      <c r="BK22" s="773"/>
      <c r="BL22" s="423"/>
    </row>
    <row r="23" spans="2:64">
      <c r="B23" s="376" t="str">
        <f>names!$A354</f>
        <v xml:space="preserve">Petrochemia </v>
      </c>
      <c r="C23" s="379">
        <v>193</v>
      </c>
      <c r="D23" s="379">
        <v>193</v>
      </c>
      <c r="E23" s="379">
        <v>198</v>
      </c>
      <c r="F23" s="379">
        <v>198</v>
      </c>
      <c r="G23" s="379">
        <v>205</v>
      </c>
      <c r="H23" s="379">
        <v>205</v>
      </c>
      <c r="I23" s="379">
        <v>213</v>
      </c>
      <c r="J23" s="379">
        <v>213</v>
      </c>
      <c r="K23" s="379">
        <v>809.00000000000182</v>
      </c>
      <c r="L23" s="609">
        <v>809.00000000000182</v>
      </c>
      <c r="M23" s="379">
        <v>227</v>
      </c>
      <c r="N23" s="379">
        <v>227</v>
      </c>
      <c r="O23" s="379">
        <v>231</v>
      </c>
      <c r="P23" s="379">
        <v>231</v>
      </c>
      <c r="Q23" s="379">
        <v>224</v>
      </c>
      <c r="R23" s="379">
        <v>224</v>
      </c>
      <c r="S23" s="379">
        <v>232</v>
      </c>
      <c r="T23" s="379">
        <v>232</v>
      </c>
      <c r="U23" s="379">
        <v>914</v>
      </c>
      <c r="V23" s="609">
        <v>914</v>
      </c>
      <c r="W23" s="379">
        <v>249</v>
      </c>
      <c r="X23" s="379">
        <v>249</v>
      </c>
      <c r="Y23" s="379">
        <v>233</v>
      </c>
      <c r="Z23" s="379">
        <v>233</v>
      </c>
      <c r="AA23" s="379">
        <v>241</v>
      </c>
      <c r="AB23" s="379">
        <v>241</v>
      </c>
      <c r="AC23" s="379">
        <v>306</v>
      </c>
      <c r="AD23" s="379">
        <v>306</v>
      </c>
      <c r="AE23" s="379">
        <v>1029</v>
      </c>
      <c r="AF23" s="609">
        <v>1029</v>
      </c>
      <c r="AG23" s="379">
        <v>269</v>
      </c>
      <c r="AH23" s="379">
        <v>269</v>
      </c>
      <c r="AI23" s="379">
        <v>273</v>
      </c>
      <c r="AJ23" s="379">
        <v>273</v>
      </c>
      <c r="AK23" s="379">
        <v>274</v>
      </c>
      <c r="AL23" s="379">
        <v>274</v>
      </c>
      <c r="AM23" s="379">
        <v>288</v>
      </c>
      <c r="AN23" s="379">
        <v>288</v>
      </c>
      <c r="AO23" s="379">
        <v>1104</v>
      </c>
      <c r="AP23" s="609">
        <v>1104</v>
      </c>
      <c r="AQ23" s="379">
        <v>291</v>
      </c>
      <c r="AR23" s="379">
        <v>291</v>
      </c>
      <c r="AS23" s="379">
        <v>288</v>
      </c>
      <c r="AT23" s="379">
        <v>288</v>
      </c>
      <c r="AU23" s="379">
        <v>289</v>
      </c>
      <c r="AV23" s="379">
        <v>289</v>
      </c>
      <c r="AW23" s="379">
        <v>288</v>
      </c>
      <c r="AX23" s="379">
        <v>288</v>
      </c>
      <c r="AY23" s="379">
        <f t="shared" ref="AY23:AZ23" si="4">AY7-AY37</f>
        <v>1156</v>
      </c>
      <c r="AZ23" s="609">
        <f t="shared" si="4"/>
        <v>1156</v>
      </c>
      <c r="BA23" s="379">
        <v>196</v>
      </c>
      <c r="BB23" s="379">
        <v>196</v>
      </c>
      <c r="BC23" s="379">
        <v>196</v>
      </c>
      <c r="BD23" s="379">
        <v>196</v>
      </c>
      <c r="BE23" s="379">
        <v>218</v>
      </c>
      <c r="BF23" s="379">
        <v>218</v>
      </c>
      <c r="BG23" s="379">
        <v>211</v>
      </c>
      <c r="BH23" s="379">
        <v>211</v>
      </c>
      <c r="BI23" s="379">
        <f t="shared" ref="BI23:BJ23" si="5">BI7-BI37</f>
        <v>837</v>
      </c>
      <c r="BJ23" s="379">
        <f t="shared" si="5"/>
        <v>837</v>
      </c>
      <c r="BK23" s="773"/>
      <c r="BL23" s="423"/>
    </row>
    <row r="24" spans="2:64">
      <c r="B24" s="376" t="str">
        <f>names!$A355</f>
        <v>Energetyka</v>
      </c>
      <c r="C24" s="379">
        <v>105</v>
      </c>
      <c r="D24" s="379">
        <v>105</v>
      </c>
      <c r="E24" s="379">
        <v>106</v>
      </c>
      <c r="F24" s="379">
        <v>106</v>
      </c>
      <c r="G24" s="379">
        <v>108</v>
      </c>
      <c r="H24" s="379">
        <v>108</v>
      </c>
      <c r="I24" s="379">
        <v>117</v>
      </c>
      <c r="J24" s="379">
        <v>118</v>
      </c>
      <c r="K24" s="379">
        <v>436</v>
      </c>
      <c r="L24" s="609">
        <v>437</v>
      </c>
      <c r="M24" s="379">
        <v>117</v>
      </c>
      <c r="N24" s="379">
        <v>117</v>
      </c>
      <c r="O24" s="379">
        <v>297</v>
      </c>
      <c r="P24" s="379">
        <v>297</v>
      </c>
      <c r="Q24" s="379">
        <v>377</v>
      </c>
      <c r="R24" s="379">
        <v>377</v>
      </c>
      <c r="S24" s="379">
        <v>389</v>
      </c>
      <c r="T24" s="379">
        <v>389</v>
      </c>
      <c r="U24" s="379">
        <v>1180</v>
      </c>
      <c r="V24" s="609">
        <v>1180</v>
      </c>
      <c r="W24" s="379">
        <v>395</v>
      </c>
      <c r="X24" s="379">
        <v>395</v>
      </c>
      <c r="Y24" s="379">
        <v>380</v>
      </c>
      <c r="Z24" s="379">
        <v>380</v>
      </c>
      <c r="AA24" s="379">
        <v>398</v>
      </c>
      <c r="AB24" s="379">
        <v>398</v>
      </c>
      <c r="AC24" s="379">
        <v>415</v>
      </c>
      <c r="AD24" s="379">
        <v>415</v>
      </c>
      <c r="AE24" s="379">
        <v>1588</v>
      </c>
      <c r="AF24" s="609">
        <v>1588</v>
      </c>
      <c r="AG24" s="379">
        <v>410</v>
      </c>
      <c r="AH24" s="379">
        <v>410</v>
      </c>
      <c r="AI24" s="379">
        <v>418</v>
      </c>
      <c r="AJ24" s="379">
        <v>418</v>
      </c>
      <c r="AK24" s="379">
        <v>412</v>
      </c>
      <c r="AL24" s="379">
        <v>412</v>
      </c>
      <c r="AM24" s="379">
        <v>567</v>
      </c>
      <c r="AN24" s="379">
        <v>567</v>
      </c>
      <c r="AO24" s="379">
        <v>1807</v>
      </c>
      <c r="AP24" s="609">
        <v>1807</v>
      </c>
      <c r="AQ24" s="379">
        <v>590</v>
      </c>
      <c r="AR24" s="379">
        <v>590</v>
      </c>
      <c r="AS24" s="379">
        <v>577</v>
      </c>
      <c r="AT24" s="379">
        <v>577</v>
      </c>
      <c r="AU24" s="379">
        <v>574</v>
      </c>
      <c r="AV24" s="379">
        <v>574</v>
      </c>
      <c r="AW24" s="379">
        <v>605</v>
      </c>
      <c r="AX24" s="379">
        <v>605</v>
      </c>
      <c r="AY24" s="379">
        <f t="shared" ref="AY24:AZ28" si="6">AY9-AY39</f>
        <v>2346</v>
      </c>
      <c r="AZ24" s="609">
        <f t="shared" si="6"/>
        <v>2346</v>
      </c>
      <c r="BA24" s="379">
        <v>592</v>
      </c>
      <c r="BB24" s="379">
        <v>592</v>
      </c>
      <c r="BC24" s="379">
        <v>619</v>
      </c>
      <c r="BD24" s="379">
        <v>619</v>
      </c>
      <c r="BE24" s="379">
        <v>619</v>
      </c>
      <c r="BF24" s="379">
        <v>619</v>
      </c>
      <c r="BG24" s="379">
        <v>682</v>
      </c>
      <c r="BH24" s="379">
        <v>682</v>
      </c>
      <c r="BI24" s="379">
        <f t="shared" ref="BI24:BJ28" si="7">BI9-BI39</f>
        <v>2507</v>
      </c>
      <c r="BJ24" s="379">
        <f t="shared" si="7"/>
        <v>2507</v>
      </c>
      <c r="BK24" s="773"/>
      <c r="BL24" s="423"/>
    </row>
    <row r="25" spans="2:64">
      <c r="B25" s="376" t="str">
        <f>names!$A356</f>
        <v xml:space="preserve">Detal </v>
      </c>
      <c r="C25" s="379">
        <v>157</v>
      </c>
      <c r="D25" s="379">
        <v>157</v>
      </c>
      <c r="E25" s="379">
        <v>153</v>
      </c>
      <c r="F25" s="379">
        <v>153</v>
      </c>
      <c r="G25" s="379">
        <v>158</v>
      </c>
      <c r="H25" s="379">
        <v>158</v>
      </c>
      <c r="I25" s="379">
        <v>162</v>
      </c>
      <c r="J25" s="379">
        <v>162</v>
      </c>
      <c r="K25" s="379">
        <v>630</v>
      </c>
      <c r="L25" s="609">
        <v>630</v>
      </c>
      <c r="M25" s="379">
        <v>167</v>
      </c>
      <c r="N25" s="379">
        <v>167</v>
      </c>
      <c r="O25" s="379">
        <v>184</v>
      </c>
      <c r="P25" s="379">
        <v>184</v>
      </c>
      <c r="Q25" s="379">
        <v>176</v>
      </c>
      <c r="R25" s="379">
        <v>176</v>
      </c>
      <c r="S25" s="379">
        <v>193</v>
      </c>
      <c r="T25" s="379">
        <v>193</v>
      </c>
      <c r="U25" s="379">
        <v>720</v>
      </c>
      <c r="V25" s="609">
        <v>720</v>
      </c>
      <c r="W25" s="379">
        <v>206</v>
      </c>
      <c r="X25" s="379">
        <v>206</v>
      </c>
      <c r="Y25" s="379">
        <v>199</v>
      </c>
      <c r="Z25" s="379">
        <v>199</v>
      </c>
      <c r="AA25" s="379">
        <v>203</v>
      </c>
      <c r="AB25" s="379">
        <v>203</v>
      </c>
      <c r="AC25" s="379">
        <v>197</v>
      </c>
      <c r="AD25" s="379">
        <v>197</v>
      </c>
      <c r="AE25" s="379">
        <v>805</v>
      </c>
      <c r="AF25" s="609">
        <v>805</v>
      </c>
      <c r="AG25" s="379">
        <v>206</v>
      </c>
      <c r="AH25" s="379">
        <v>206</v>
      </c>
      <c r="AI25" s="379">
        <v>210</v>
      </c>
      <c r="AJ25" s="379">
        <v>210</v>
      </c>
      <c r="AK25" s="379">
        <v>214</v>
      </c>
      <c r="AL25" s="379">
        <v>214</v>
      </c>
      <c r="AM25" s="379">
        <v>239</v>
      </c>
      <c r="AN25" s="379">
        <v>239</v>
      </c>
      <c r="AO25" s="379">
        <v>869</v>
      </c>
      <c r="AP25" s="609">
        <v>869</v>
      </c>
      <c r="AQ25" s="379">
        <v>233</v>
      </c>
      <c r="AR25" s="379">
        <v>233</v>
      </c>
      <c r="AS25" s="379">
        <v>258</v>
      </c>
      <c r="AT25" s="379">
        <v>258</v>
      </c>
      <c r="AU25" s="379">
        <v>250</v>
      </c>
      <c r="AV25" s="379">
        <v>250</v>
      </c>
      <c r="AW25" s="379">
        <v>270</v>
      </c>
      <c r="AX25" s="379">
        <v>270</v>
      </c>
      <c r="AY25" s="379">
        <f t="shared" si="6"/>
        <v>1011</v>
      </c>
      <c r="AZ25" s="609">
        <f t="shared" si="6"/>
        <v>1011</v>
      </c>
      <c r="BA25" s="379">
        <v>275</v>
      </c>
      <c r="BB25" s="379">
        <v>275</v>
      </c>
      <c r="BC25" s="379">
        <v>284</v>
      </c>
      <c r="BD25" s="379">
        <v>284</v>
      </c>
      <c r="BE25" s="379">
        <v>292</v>
      </c>
      <c r="BF25" s="379">
        <v>292</v>
      </c>
      <c r="BG25" s="379">
        <v>342</v>
      </c>
      <c r="BH25" s="379">
        <v>342</v>
      </c>
      <c r="BI25" s="379">
        <f t="shared" si="7"/>
        <v>1226</v>
      </c>
      <c r="BJ25" s="379">
        <f t="shared" si="7"/>
        <v>1226</v>
      </c>
      <c r="BK25" s="773"/>
      <c r="BL25" s="423"/>
    </row>
    <row r="26" spans="2:64">
      <c r="B26" s="376" t="str">
        <f>names!$A357</f>
        <v xml:space="preserve">Wydobycie </v>
      </c>
      <c r="C26" s="379">
        <v>70</v>
      </c>
      <c r="D26" s="379">
        <v>70</v>
      </c>
      <c r="E26" s="379">
        <v>66</v>
      </c>
      <c r="F26" s="379">
        <v>66</v>
      </c>
      <c r="G26" s="379">
        <v>100</v>
      </c>
      <c r="H26" s="379">
        <v>100</v>
      </c>
      <c r="I26" s="379">
        <v>83</v>
      </c>
      <c r="J26" s="379">
        <v>83</v>
      </c>
      <c r="K26" s="379">
        <v>319</v>
      </c>
      <c r="L26" s="609">
        <v>319</v>
      </c>
      <c r="M26" s="379">
        <v>94</v>
      </c>
      <c r="N26" s="379">
        <v>94</v>
      </c>
      <c r="O26" s="379">
        <v>78</v>
      </c>
      <c r="P26" s="379">
        <v>78</v>
      </c>
      <c r="Q26" s="379">
        <v>72</v>
      </c>
      <c r="R26" s="379">
        <v>72</v>
      </c>
      <c r="S26" s="379">
        <v>106</v>
      </c>
      <c r="T26" s="379">
        <v>106</v>
      </c>
      <c r="U26" s="379">
        <v>350</v>
      </c>
      <c r="V26" s="609">
        <v>350</v>
      </c>
      <c r="W26" s="379">
        <v>75</v>
      </c>
      <c r="X26" s="379">
        <v>75</v>
      </c>
      <c r="Y26" s="379">
        <v>82</v>
      </c>
      <c r="Z26" s="379">
        <v>82</v>
      </c>
      <c r="AA26" s="379">
        <v>80</v>
      </c>
      <c r="AB26" s="379">
        <v>80</v>
      </c>
      <c r="AC26" s="379">
        <v>23</v>
      </c>
      <c r="AD26" s="379">
        <v>23</v>
      </c>
      <c r="AE26" s="379">
        <v>260</v>
      </c>
      <c r="AF26" s="609">
        <v>260</v>
      </c>
      <c r="AG26" s="379">
        <v>70</v>
      </c>
      <c r="AH26" s="379">
        <v>70</v>
      </c>
      <c r="AI26" s="379">
        <v>105</v>
      </c>
      <c r="AJ26" s="379">
        <v>105</v>
      </c>
      <c r="AK26" s="379">
        <v>204</v>
      </c>
      <c r="AL26" s="379">
        <v>204</v>
      </c>
      <c r="AM26" s="379">
        <v>1331</v>
      </c>
      <c r="AN26" s="379">
        <v>1331</v>
      </c>
      <c r="AO26" s="379">
        <v>1710</v>
      </c>
      <c r="AP26" s="609">
        <v>1710</v>
      </c>
      <c r="AQ26" s="379">
        <v>1612</v>
      </c>
      <c r="AR26" s="379">
        <v>1612</v>
      </c>
      <c r="AS26" s="379">
        <v>1272</v>
      </c>
      <c r="AT26" s="379">
        <v>1272</v>
      </c>
      <c r="AU26" s="379">
        <v>1288</v>
      </c>
      <c r="AV26" s="379">
        <v>1288</v>
      </c>
      <c r="AW26" s="379">
        <v>1430</v>
      </c>
      <c r="AX26" s="379">
        <v>1430</v>
      </c>
      <c r="AY26" s="379">
        <f t="shared" si="6"/>
        <v>5602</v>
      </c>
      <c r="AZ26" s="609">
        <f t="shared" si="6"/>
        <v>5602</v>
      </c>
      <c r="BA26" s="379">
        <v>1280</v>
      </c>
      <c r="BB26" s="379">
        <v>1280</v>
      </c>
      <c r="BC26" s="379">
        <v>1350</v>
      </c>
      <c r="BD26" s="379">
        <v>1350</v>
      </c>
      <c r="BE26" s="379">
        <v>1170</v>
      </c>
      <c r="BF26" s="379">
        <v>1170</v>
      </c>
      <c r="BG26" s="379">
        <v>1370</v>
      </c>
      <c r="BH26" s="379">
        <v>1370</v>
      </c>
      <c r="BI26" s="379">
        <f t="shared" si="7"/>
        <v>5170</v>
      </c>
      <c r="BJ26" s="379">
        <f t="shared" si="7"/>
        <v>5170</v>
      </c>
      <c r="BK26" s="773"/>
      <c r="BL26" s="423"/>
    </row>
    <row r="27" spans="2:64">
      <c r="B27" s="376" t="str">
        <f>names!$A358</f>
        <v>Gaz</v>
      </c>
      <c r="C27" s="379" t="s">
        <v>249</v>
      </c>
      <c r="D27" s="379" t="s">
        <v>249</v>
      </c>
      <c r="E27" s="379" t="s">
        <v>249</v>
      </c>
      <c r="F27" s="379" t="s">
        <v>249</v>
      </c>
      <c r="G27" s="379" t="s">
        <v>249</v>
      </c>
      <c r="H27" s="379" t="s">
        <v>249</v>
      </c>
      <c r="I27" s="379" t="s">
        <v>249</v>
      </c>
      <c r="J27" s="379" t="s">
        <v>249</v>
      </c>
      <c r="K27" s="379" t="s">
        <v>249</v>
      </c>
      <c r="L27" s="609" t="s">
        <v>249</v>
      </c>
      <c r="M27" s="379" t="s">
        <v>249</v>
      </c>
      <c r="N27" s="379" t="s">
        <v>249</v>
      </c>
      <c r="O27" s="379" t="s">
        <v>249</v>
      </c>
      <c r="P27" s="379" t="s">
        <v>249</v>
      </c>
      <c r="Q27" s="379" t="s">
        <v>249</v>
      </c>
      <c r="R27" s="379" t="s">
        <v>249</v>
      </c>
      <c r="S27" s="379" t="s">
        <v>249</v>
      </c>
      <c r="T27" s="379" t="s">
        <v>249</v>
      </c>
      <c r="U27" s="379" t="s">
        <v>249</v>
      </c>
      <c r="V27" s="609" t="s">
        <v>249</v>
      </c>
      <c r="W27" s="379" t="s">
        <v>249</v>
      </c>
      <c r="X27" s="379" t="s">
        <v>249</v>
      </c>
      <c r="Y27" s="379" t="s">
        <v>249</v>
      </c>
      <c r="Z27" s="379" t="s">
        <v>249</v>
      </c>
      <c r="AA27" s="379" t="s">
        <v>249</v>
      </c>
      <c r="AB27" s="379" t="s">
        <v>249</v>
      </c>
      <c r="AC27" s="379" t="s">
        <v>249</v>
      </c>
      <c r="AD27" s="379" t="s">
        <v>249</v>
      </c>
      <c r="AE27" s="379" t="s">
        <v>249</v>
      </c>
      <c r="AF27" s="609" t="s">
        <v>249</v>
      </c>
      <c r="AG27" s="379" t="s">
        <v>249</v>
      </c>
      <c r="AH27" s="379" t="s">
        <v>249</v>
      </c>
      <c r="AI27" s="379" t="s">
        <v>249</v>
      </c>
      <c r="AJ27" s="379" t="s">
        <v>249</v>
      </c>
      <c r="AK27" s="379" t="s">
        <v>249</v>
      </c>
      <c r="AL27" s="379" t="s">
        <v>249</v>
      </c>
      <c r="AM27" s="379">
        <v>418</v>
      </c>
      <c r="AN27" s="379">
        <v>418</v>
      </c>
      <c r="AO27" s="379">
        <v>418</v>
      </c>
      <c r="AP27" s="609">
        <v>418</v>
      </c>
      <c r="AQ27" s="379">
        <v>644</v>
      </c>
      <c r="AR27" s="379">
        <v>644</v>
      </c>
      <c r="AS27" s="379">
        <v>504</v>
      </c>
      <c r="AT27" s="379">
        <v>504</v>
      </c>
      <c r="AU27" s="379">
        <v>547</v>
      </c>
      <c r="AV27" s="379">
        <v>547</v>
      </c>
      <c r="AW27" s="379">
        <v>520</v>
      </c>
      <c r="AX27" s="379">
        <v>520</v>
      </c>
      <c r="AY27" s="379">
        <f t="shared" si="6"/>
        <v>2215</v>
      </c>
      <c r="AZ27" s="609">
        <f t="shared" si="6"/>
        <v>2215</v>
      </c>
      <c r="BA27" s="379">
        <v>522</v>
      </c>
      <c r="BB27" s="379">
        <v>522</v>
      </c>
      <c r="BC27" s="379">
        <v>535</v>
      </c>
      <c r="BD27" s="379">
        <v>535</v>
      </c>
      <c r="BE27" s="379">
        <v>531</v>
      </c>
      <c r="BF27" s="379">
        <v>531</v>
      </c>
      <c r="BG27" s="379">
        <v>561</v>
      </c>
      <c r="BH27" s="379">
        <v>561</v>
      </c>
      <c r="BI27" s="379">
        <f t="shared" si="7"/>
        <v>2149</v>
      </c>
      <c r="BJ27" s="379">
        <f t="shared" si="7"/>
        <v>2149</v>
      </c>
      <c r="BK27" s="773"/>
      <c r="BL27" s="423"/>
    </row>
    <row r="28" spans="2:64" ht="12.6" customHeight="1" thickBot="1">
      <c r="B28" s="377" t="str">
        <f>names!$A359</f>
        <v>Corporate functions</v>
      </c>
      <c r="C28" s="383">
        <v>35</v>
      </c>
      <c r="D28" s="383">
        <v>35</v>
      </c>
      <c r="E28" s="383">
        <v>38</v>
      </c>
      <c r="F28" s="383">
        <v>38</v>
      </c>
      <c r="G28" s="383">
        <v>40</v>
      </c>
      <c r="H28" s="383">
        <v>40</v>
      </c>
      <c r="I28" s="383">
        <v>55</v>
      </c>
      <c r="J28" s="383">
        <v>55</v>
      </c>
      <c r="K28" s="383">
        <v>168</v>
      </c>
      <c r="L28" s="610">
        <v>168</v>
      </c>
      <c r="M28" s="383">
        <v>50</v>
      </c>
      <c r="N28" s="383">
        <v>50</v>
      </c>
      <c r="O28" s="383">
        <v>48</v>
      </c>
      <c r="P28" s="383">
        <v>48</v>
      </c>
      <c r="Q28" s="383">
        <v>54</v>
      </c>
      <c r="R28" s="383">
        <v>54</v>
      </c>
      <c r="S28" s="383">
        <v>54</v>
      </c>
      <c r="T28" s="383">
        <v>54</v>
      </c>
      <c r="U28" s="383">
        <v>206</v>
      </c>
      <c r="V28" s="610">
        <v>206</v>
      </c>
      <c r="W28" s="383">
        <v>57</v>
      </c>
      <c r="X28" s="383">
        <v>57</v>
      </c>
      <c r="Y28" s="383">
        <v>68</v>
      </c>
      <c r="Z28" s="383">
        <v>68</v>
      </c>
      <c r="AA28" s="383">
        <v>68</v>
      </c>
      <c r="AB28" s="383">
        <v>68</v>
      </c>
      <c r="AC28" s="383">
        <v>99</v>
      </c>
      <c r="AD28" s="383">
        <v>99</v>
      </c>
      <c r="AE28" s="383">
        <v>292</v>
      </c>
      <c r="AF28" s="610">
        <v>292</v>
      </c>
      <c r="AG28" s="383">
        <v>79</v>
      </c>
      <c r="AH28" s="383">
        <v>79</v>
      </c>
      <c r="AI28" s="383">
        <v>74</v>
      </c>
      <c r="AJ28" s="383">
        <v>74</v>
      </c>
      <c r="AK28" s="383">
        <v>81</v>
      </c>
      <c r="AL28" s="383">
        <v>81</v>
      </c>
      <c r="AM28" s="383">
        <v>92</v>
      </c>
      <c r="AN28" s="383">
        <v>92</v>
      </c>
      <c r="AO28" s="383">
        <v>326</v>
      </c>
      <c r="AP28" s="610">
        <v>326</v>
      </c>
      <c r="AQ28" s="383">
        <v>87</v>
      </c>
      <c r="AR28" s="383">
        <v>87</v>
      </c>
      <c r="AS28" s="383">
        <v>92</v>
      </c>
      <c r="AT28" s="383">
        <v>92</v>
      </c>
      <c r="AU28" s="383">
        <v>87</v>
      </c>
      <c r="AV28" s="383">
        <v>87</v>
      </c>
      <c r="AW28" s="383">
        <v>104</v>
      </c>
      <c r="AX28" s="383">
        <v>104</v>
      </c>
      <c r="AY28" s="383">
        <f t="shared" si="6"/>
        <v>370</v>
      </c>
      <c r="AZ28" s="610">
        <f t="shared" si="6"/>
        <v>370</v>
      </c>
      <c r="BA28" s="383">
        <v>96</v>
      </c>
      <c r="BB28" s="383">
        <v>96</v>
      </c>
      <c r="BC28" s="383">
        <v>96</v>
      </c>
      <c r="BD28" s="383">
        <v>96</v>
      </c>
      <c r="BE28" s="383">
        <v>102</v>
      </c>
      <c r="BF28" s="383">
        <v>102</v>
      </c>
      <c r="BG28" s="383">
        <v>102</v>
      </c>
      <c r="BH28" s="383">
        <v>102</v>
      </c>
      <c r="BI28" s="383">
        <f t="shared" si="7"/>
        <v>396</v>
      </c>
      <c r="BJ28" s="383">
        <f t="shared" si="7"/>
        <v>396</v>
      </c>
      <c r="BK28" s="773"/>
      <c r="BL28" s="423"/>
    </row>
    <row r="29" spans="2:64" ht="12" thickBot="1">
      <c r="B29" s="413" t="str">
        <f>names!$A360</f>
        <v>Amortyzacja</v>
      </c>
      <c r="C29" s="412">
        <v>833</v>
      </c>
      <c r="D29" s="412">
        <v>833</v>
      </c>
      <c r="E29" s="412">
        <v>846</v>
      </c>
      <c r="F29" s="412">
        <v>846</v>
      </c>
      <c r="G29" s="412">
        <v>893</v>
      </c>
      <c r="H29" s="412">
        <v>893</v>
      </c>
      <c r="I29" s="412">
        <v>925</v>
      </c>
      <c r="J29" s="412">
        <v>925</v>
      </c>
      <c r="K29" s="412">
        <v>3497.0000000000018</v>
      </c>
      <c r="L29" s="611">
        <v>3497.0000000000018</v>
      </c>
      <c r="M29" s="412">
        <v>935</v>
      </c>
      <c r="N29" s="412">
        <v>935</v>
      </c>
      <c r="O29" s="412">
        <v>1128</v>
      </c>
      <c r="P29" s="412">
        <v>1128</v>
      </c>
      <c r="Q29" s="412">
        <v>1188</v>
      </c>
      <c r="R29" s="412">
        <v>1188</v>
      </c>
      <c r="S29" s="412">
        <v>1306</v>
      </c>
      <c r="T29" s="412">
        <v>1306</v>
      </c>
      <c r="U29" s="412">
        <v>4557</v>
      </c>
      <c r="V29" s="611">
        <v>4557</v>
      </c>
      <c r="W29" s="412">
        <v>1311</v>
      </c>
      <c r="X29" s="412">
        <v>1311</v>
      </c>
      <c r="Y29" s="412">
        <v>1294</v>
      </c>
      <c r="Z29" s="412">
        <v>1294</v>
      </c>
      <c r="AA29" s="412">
        <v>1328</v>
      </c>
      <c r="AB29" s="412">
        <v>1328</v>
      </c>
      <c r="AC29" s="412">
        <v>1408</v>
      </c>
      <c r="AD29" s="412">
        <v>1408</v>
      </c>
      <c r="AE29" s="412">
        <v>5341</v>
      </c>
      <c r="AF29" s="611">
        <v>5341</v>
      </c>
      <c r="AG29" s="412">
        <v>1400</v>
      </c>
      <c r="AH29" s="412">
        <v>1400</v>
      </c>
      <c r="AI29" s="412">
        <v>1447</v>
      </c>
      <c r="AJ29" s="412">
        <v>1447</v>
      </c>
      <c r="AK29" s="412">
        <v>1549</v>
      </c>
      <c r="AL29" s="412">
        <v>1549</v>
      </c>
      <c r="AM29" s="412">
        <v>3328</v>
      </c>
      <c r="AN29" s="412">
        <v>3328</v>
      </c>
      <c r="AO29" s="412">
        <v>7724</v>
      </c>
      <c r="AP29" s="611">
        <v>7724</v>
      </c>
      <c r="AQ29" s="412">
        <v>3822</v>
      </c>
      <c r="AR29" s="412">
        <v>3822</v>
      </c>
      <c r="AS29" s="412">
        <v>3375</v>
      </c>
      <c r="AT29" s="412">
        <v>3375</v>
      </c>
      <c r="AU29" s="412">
        <v>3401</v>
      </c>
      <c r="AV29" s="412">
        <v>3401</v>
      </c>
      <c r="AW29" s="412">
        <v>3595</v>
      </c>
      <c r="AX29" s="412">
        <v>3595</v>
      </c>
      <c r="AY29" s="412">
        <f t="shared" ref="AY29:AZ29" si="8">SUM(AY22:AY28)</f>
        <v>14193</v>
      </c>
      <c r="AZ29" s="611">
        <f t="shared" si="8"/>
        <v>14193</v>
      </c>
      <c r="BA29" s="412">
        <v>3356</v>
      </c>
      <c r="BB29" s="412">
        <v>3356</v>
      </c>
      <c r="BC29" s="412">
        <v>3502</v>
      </c>
      <c r="BD29" s="412">
        <v>3502</v>
      </c>
      <c r="BE29" s="412">
        <v>3365</v>
      </c>
      <c r="BF29" s="412">
        <v>3365</v>
      </c>
      <c r="BG29" s="412">
        <v>3713</v>
      </c>
      <c r="BH29" s="412">
        <v>3713</v>
      </c>
      <c r="BI29" s="412">
        <f t="shared" ref="BI29:BJ29" si="9">SUM(BI22:BI28)</f>
        <v>14014</v>
      </c>
      <c r="BJ29" s="412">
        <f t="shared" si="9"/>
        <v>14014</v>
      </c>
      <c r="BK29" s="773"/>
      <c r="BL29" s="423"/>
    </row>
    <row r="30" spans="2:64">
      <c r="B30" s="425"/>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c r="AZ30" s="426"/>
      <c r="BA30" s="426"/>
      <c r="BB30" s="426"/>
      <c r="BC30" s="426"/>
      <c r="BD30" s="426"/>
      <c r="BE30" s="426"/>
      <c r="BF30" s="426"/>
      <c r="BG30" s="426"/>
      <c r="BH30" s="426"/>
      <c r="BI30" s="426"/>
      <c r="BJ30" s="426"/>
    </row>
    <row r="31" spans="2:64">
      <c r="B31" s="375"/>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18"/>
      <c r="AQ31" s="418"/>
      <c r="AR31" s="418"/>
      <c r="AS31" s="418"/>
      <c r="AT31" s="418"/>
      <c r="AU31" s="418"/>
      <c r="AV31" s="418"/>
      <c r="AW31" s="418"/>
      <c r="AX31" s="418"/>
      <c r="AY31" s="418"/>
      <c r="AZ31" s="418"/>
      <c r="BA31" s="418"/>
      <c r="BB31" s="418"/>
      <c r="BC31" s="418"/>
      <c r="BD31" s="418"/>
      <c r="BE31" s="418"/>
      <c r="BF31" s="418"/>
      <c r="BG31" s="418"/>
      <c r="BH31" s="418"/>
      <c r="BI31" s="418"/>
      <c r="BJ31" s="418"/>
    </row>
    <row r="32" spans="2:64" ht="15.75">
      <c r="B32" s="396" t="str">
        <f>names!$A363</f>
        <v>EBIT LIFO</v>
      </c>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c r="BH32" s="418"/>
      <c r="BI32" s="418"/>
      <c r="BJ32" s="418"/>
    </row>
    <row r="33" spans="2:64" ht="9.75" customHeight="1">
      <c r="B33" s="375"/>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24"/>
      <c r="BA33" s="424"/>
      <c r="BB33" s="424"/>
      <c r="BC33" s="424"/>
      <c r="BD33" s="424"/>
      <c r="BE33" s="424"/>
      <c r="BF33" s="424"/>
      <c r="BG33" s="424"/>
      <c r="BH33" s="424"/>
      <c r="BI33" s="424"/>
      <c r="BJ33" s="424"/>
    </row>
    <row r="34" spans="2:64" ht="55.5" customHeight="1">
      <c r="B34" s="372" t="str">
        <f>names!$A365</f>
        <v>Wyszczególnienie, 
mln PLN</v>
      </c>
      <c r="C34" s="372" t="str">
        <f>C$4</f>
        <v>I kw.
2019*</v>
      </c>
      <c r="D34" s="372" t="str">
        <f t="shared" ref="D34:BJ34" si="10">D$4</f>
        <v>I kw.
2019
przed odpisem*,**</v>
      </c>
      <c r="E34" s="372" t="str">
        <f t="shared" si="10"/>
        <v>II kw.
2019*</v>
      </c>
      <c r="F34" s="372" t="str">
        <f t="shared" si="10"/>
        <v>II kw.
2019
przed odpisem**</v>
      </c>
      <c r="G34" s="372" t="str">
        <f t="shared" si="10"/>
        <v>III kw.
2019*</v>
      </c>
      <c r="H34" s="372" t="str">
        <f t="shared" si="10"/>
        <v>III kw.
2019
przed odpisem*,**</v>
      </c>
      <c r="I34" s="372" t="str">
        <f t="shared" si="10"/>
        <v>IV kw.
2019*</v>
      </c>
      <c r="J34" s="372" t="str">
        <f t="shared" si="10"/>
        <v>IV kw.
2019
przed odpisem*,**</v>
      </c>
      <c r="K34" s="372" t="str">
        <f t="shared" si="10"/>
        <v>12 m-cy
2019*</v>
      </c>
      <c r="L34" s="372" t="str">
        <f t="shared" si="10"/>
        <v>12 m-cy
2019
przed odpisem*,**</v>
      </c>
      <c r="M34" s="372" t="str">
        <f t="shared" si="10"/>
        <v>I kw.
2020*</v>
      </c>
      <c r="N34" s="372" t="str">
        <f t="shared" si="10"/>
        <v>I kw.
2020
przed odpisem*,**</v>
      </c>
      <c r="O34" s="372" t="str">
        <f t="shared" si="10"/>
        <v>II kw.
2020</v>
      </c>
      <c r="P34" s="372" t="str">
        <f t="shared" si="10"/>
        <v>II kw.
2020
przed odpisem**</v>
      </c>
      <c r="Q34" s="372" t="str">
        <f t="shared" si="10"/>
        <v>III kw.
2020</v>
      </c>
      <c r="R34" s="372" t="str">
        <f t="shared" si="10"/>
        <v>III kw.
2020
przed odpisem**</v>
      </c>
      <c r="S34" s="372" t="str">
        <f t="shared" si="10"/>
        <v>IV kw.
2020</v>
      </c>
      <c r="T34" s="372" t="str">
        <f t="shared" si="10"/>
        <v>IV kw.
2020
przed odpisem**</v>
      </c>
      <c r="U34" s="372" t="str">
        <f t="shared" si="10"/>
        <v>12 m-cy
2020</v>
      </c>
      <c r="V34" s="372" t="str">
        <f t="shared" si="10"/>
        <v>12 m-cy
2020
przed odpisem**</v>
      </c>
      <c r="W34" s="372" t="str">
        <f t="shared" si="10"/>
        <v>I kw.
2021</v>
      </c>
      <c r="X34" s="372" t="str">
        <f t="shared" si="10"/>
        <v>I kw.
2021
przed odpisem**</v>
      </c>
      <c r="Y34" s="372" t="str">
        <f t="shared" si="10"/>
        <v>II kw.
2021</v>
      </c>
      <c r="Z34" s="372" t="str">
        <f t="shared" si="10"/>
        <v>II kw.
2021
przed odpisem**</v>
      </c>
      <c r="AA34" s="372" t="str">
        <f t="shared" si="10"/>
        <v>III kw.
2021</v>
      </c>
      <c r="AB34" s="372" t="str">
        <f t="shared" si="10"/>
        <v>III kw.
2021
przed odpisem**</v>
      </c>
      <c r="AC34" s="372" t="str">
        <f t="shared" si="10"/>
        <v>IV kw.
2021</v>
      </c>
      <c r="AD34" s="372" t="str">
        <f t="shared" si="10"/>
        <v>IV kw.
2021
przed odpisem**</v>
      </c>
      <c r="AE34" s="372" t="str">
        <f t="shared" si="10"/>
        <v>12 m-cy
2021</v>
      </c>
      <c r="AF34" s="372" t="str">
        <f t="shared" si="10"/>
        <v>12 m-cy
2021
przed odpisem**</v>
      </c>
      <c r="AG34" s="372" t="str">
        <f t="shared" si="10"/>
        <v>I kw.
2022</v>
      </c>
      <c r="AH34" s="372" t="str">
        <f t="shared" si="10"/>
        <v>I kw.
2022
przed odpisem**</v>
      </c>
      <c r="AI34" s="372" t="str">
        <f t="shared" si="10"/>
        <v>II kw.
2022</v>
      </c>
      <c r="AJ34" s="372" t="str">
        <f t="shared" si="10"/>
        <v>II kw.
2022
przed odpisem**</v>
      </c>
      <c r="AK34" s="372" t="str">
        <f t="shared" si="10"/>
        <v>III kw.
2022</v>
      </c>
      <c r="AL34" s="372" t="str">
        <f t="shared" si="10"/>
        <v>III kw.
2022
przed odpisem**</v>
      </c>
      <c r="AM34" s="372" t="str">
        <f t="shared" si="10"/>
        <v>IV kw.
2022</v>
      </c>
      <c r="AN34" s="372" t="str">
        <f t="shared" si="10"/>
        <v>IV kw.
2022
przed odpisem**</v>
      </c>
      <c r="AO34" s="372" t="str">
        <f t="shared" si="10"/>
        <v>12 m-cy
2022</v>
      </c>
      <c r="AP34" s="372" t="str">
        <f t="shared" si="10"/>
        <v>12 m-cy
2022
przed odpisem**</v>
      </c>
      <c r="AQ34" s="372" t="str">
        <f t="shared" si="10"/>
        <v>I kw.
2023</v>
      </c>
      <c r="AR34" s="372" t="str">
        <f t="shared" si="10"/>
        <v>I kw.
2023
przed odpisem**</v>
      </c>
      <c r="AS34" s="372" t="str">
        <f t="shared" si="10"/>
        <v>II kw.
2023</v>
      </c>
      <c r="AT34" s="372" t="str">
        <f t="shared" si="10"/>
        <v>II kw.
2023
przed odpisem**</v>
      </c>
      <c r="AU34" s="372" t="str">
        <f t="shared" si="10"/>
        <v>III kw.
2023</v>
      </c>
      <c r="AV34" s="372" t="str">
        <f t="shared" si="10"/>
        <v>III kw.
2023
przed odpisem**</v>
      </c>
      <c r="AW34" s="372" t="str">
        <f t="shared" si="10"/>
        <v>IV kw.
2023</v>
      </c>
      <c r="AX34" s="372" t="str">
        <f t="shared" si="10"/>
        <v>IV kw.
2023
przed odpisem**</v>
      </c>
      <c r="AY34" s="372" t="str">
        <f t="shared" si="10"/>
        <v>12 m-cy
2023</v>
      </c>
      <c r="AZ34" s="372" t="str">
        <f t="shared" si="10"/>
        <v>12 m-cy
2023
przed odpisem**</v>
      </c>
      <c r="BA34" s="372" t="str">
        <f t="shared" si="10"/>
        <v>I kw.
2024</v>
      </c>
      <c r="BB34" s="372" t="str">
        <f t="shared" si="10"/>
        <v>I kw.
2024
przed odpisem**</v>
      </c>
      <c r="BC34" s="372" t="str">
        <f t="shared" si="10"/>
        <v>II kw.
2024</v>
      </c>
      <c r="BD34" s="372" t="str">
        <f t="shared" si="10"/>
        <v>II kw.
2024
przed odpisem**</v>
      </c>
      <c r="BE34" s="372" t="str">
        <f t="shared" si="10"/>
        <v>III kw.
2024</v>
      </c>
      <c r="BF34" s="372" t="str">
        <f t="shared" si="10"/>
        <v>III kw.
2024
przed odpisem**</v>
      </c>
      <c r="BG34" s="372" t="str">
        <f t="shared" si="10"/>
        <v>IV kw.
2024</v>
      </c>
      <c r="BH34" s="372" t="str">
        <f t="shared" si="10"/>
        <v>IV kw.
2024
przed odpisem**</v>
      </c>
      <c r="BI34" s="372" t="str">
        <f t="shared" si="10"/>
        <v>12 m-cy
2024</v>
      </c>
      <c r="BJ34" s="372" t="str">
        <f t="shared" si="10"/>
        <v>12 m-cy
2024
przed odpisem**</v>
      </c>
    </row>
    <row r="35" spans="2:64">
      <c r="B35" s="376" t="str">
        <f>names!$A366</f>
        <v>Rafineria</v>
      </c>
      <c r="C35" s="379">
        <v>226</v>
      </c>
      <c r="D35" s="379">
        <v>226</v>
      </c>
      <c r="E35" s="379">
        <v>565</v>
      </c>
      <c r="F35" s="379">
        <v>566</v>
      </c>
      <c r="G35" s="379">
        <v>885</v>
      </c>
      <c r="H35" s="379">
        <v>885</v>
      </c>
      <c r="I35" s="379">
        <v>-29</v>
      </c>
      <c r="J35" s="379">
        <v>-28</v>
      </c>
      <c r="K35" s="379">
        <v>1647</v>
      </c>
      <c r="L35" s="607">
        <v>1649</v>
      </c>
      <c r="M35" s="379">
        <v>-637</v>
      </c>
      <c r="N35" s="379">
        <v>-633</v>
      </c>
      <c r="O35" s="379">
        <v>320</v>
      </c>
      <c r="P35" s="379">
        <v>324</v>
      </c>
      <c r="Q35" s="379">
        <v>-653</v>
      </c>
      <c r="R35" s="379">
        <v>-655</v>
      </c>
      <c r="S35" s="379">
        <v>-339</v>
      </c>
      <c r="T35" s="379">
        <v>-234</v>
      </c>
      <c r="U35" s="379">
        <v>-1309</v>
      </c>
      <c r="V35" s="607">
        <v>-1198</v>
      </c>
      <c r="W35" s="379">
        <v>-309</v>
      </c>
      <c r="X35" s="379">
        <v>-307</v>
      </c>
      <c r="Y35" s="379">
        <v>-69</v>
      </c>
      <c r="Z35" s="379">
        <v>-50</v>
      </c>
      <c r="AA35" s="379">
        <v>857</v>
      </c>
      <c r="AB35" s="379">
        <v>860</v>
      </c>
      <c r="AC35" s="379">
        <v>1758</v>
      </c>
      <c r="AD35" s="379">
        <v>1744</v>
      </c>
      <c r="AE35" s="379">
        <v>2237</v>
      </c>
      <c r="AF35" s="607">
        <v>2247</v>
      </c>
      <c r="AG35" s="379">
        <v>509</v>
      </c>
      <c r="AH35" s="379">
        <v>534</v>
      </c>
      <c r="AI35" s="379">
        <v>1478</v>
      </c>
      <c r="AJ35" s="379">
        <v>4289</v>
      </c>
      <c r="AK35" s="379">
        <v>6952</v>
      </c>
      <c r="AL35" s="379">
        <v>6955</v>
      </c>
      <c r="AM35" s="379">
        <v>7218</v>
      </c>
      <c r="AN35" s="379">
        <v>10035</v>
      </c>
      <c r="AO35" s="379">
        <v>16157</v>
      </c>
      <c r="AP35" s="607">
        <v>21813</v>
      </c>
      <c r="AQ35" s="379">
        <v>5120</v>
      </c>
      <c r="AR35" s="379">
        <v>5120</v>
      </c>
      <c r="AS35" s="379">
        <v>2135</v>
      </c>
      <c r="AT35" s="379">
        <v>2152</v>
      </c>
      <c r="AU35" s="379">
        <v>1500</v>
      </c>
      <c r="AV35" s="379">
        <v>1500</v>
      </c>
      <c r="AW35" s="379">
        <v>-932</v>
      </c>
      <c r="AX35" s="379">
        <v>-780</v>
      </c>
      <c r="AY35" s="379">
        <v>7775</v>
      </c>
      <c r="AZ35" s="607">
        <v>7944</v>
      </c>
      <c r="BA35" s="379">
        <v>1875</v>
      </c>
      <c r="BB35" s="379">
        <v>1877</v>
      </c>
      <c r="BC35" s="379">
        <v>2195</v>
      </c>
      <c r="BD35" s="379">
        <v>2200</v>
      </c>
      <c r="BE35" s="379">
        <v>-2264</v>
      </c>
      <c r="BF35" s="379">
        <v>87</v>
      </c>
      <c r="BG35" s="379">
        <v>1026</v>
      </c>
      <c r="BH35" s="379">
        <v>1119</v>
      </c>
      <c r="BI35" s="379">
        <v>3861</v>
      </c>
      <c r="BJ35" s="379">
        <v>5508</v>
      </c>
      <c r="BK35" s="773"/>
      <c r="BL35" s="423"/>
    </row>
    <row r="36" spans="2:64" s="375" customFormat="1">
      <c r="B36" s="488" t="str">
        <f>names!$A367</f>
        <v>efekt LIFO (Rafineria)</v>
      </c>
      <c r="C36" s="381">
        <v>-194</v>
      </c>
      <c r="D36" s="381">
        <v>-194</v>
      </c>
      <c r="E36" s="381">
        <v>228</v>
      </c>
      <c r="F36" s="381">
        <v>228</v>
      </c>
      <c r="G36" s="381">
        <v>-362</v>
      </c>
      <c r="H36" s="381">
        <v>-362</v>
      </c>
      <c r="I36" s="381">
        <v>183</v>
      </c>
      <c r="J36" s="381">
        <v>183</v>
      </c>
      <c r="K36" s="381">
        <v>-145</v>
      </c>
      <c r="L36" s="608">
        <v>-145</v>
      </c>
      <c r="M36" s="381">
        <v>-1946</v>
      </c>
      <c r="N36" s="381">
        <v>-1946</v>
      </c>
      <c r="O36" s="381">
        <v>-526</v>
      </c>
      <c r="P36" s="381">
        <v>-526</v>
      </c>
      <c r="Q36" s="381">
        <v>270</v>
      </c>
      <c r="R36" s="381">
        <v>270</v>
      </c>
      <c r="S36" s="381">
        <v>-78</v>
      </c>
      <c r="T36" s="381">
        <v>-78</v>
      </c>
      <c r="U36" s="381">
        <v>-2280</v>
      </c>
      <c r="V36" s="608">
        <v>-2280</v>
      </c>
      <c r="W36" s="381">
        <v>1074</v>
      </c>
      <c r="X36" s="381">
        <v>1074</v>
      </c>
      <c r="Y36" s="381">
        <v>923</v>
      </c>
      <c r="Z36" s="381">
        <v>923</v>
      </c>
      <c r="AA36" s="381">
        <v>860</v>
      </c>
      <c r="AB36" s="381">
        <v>860</v>
      </c>
      <c r="AC36" s="381">
        <v>1195</v>
      </c>
      <c r="AD36" s="381">
        <v>1195</v>
      </c>
      <c r="AE36" s="381">
        <v>4052</v>
      </c>
      <c r="AF36" s="608">
        <v>4052</v>
      </c>
      <c r="AG36" s="381">
        <v>2079</v>
      </c>
      <c r="AH36" s="381">
        <v>2079</v>
      </c>
      <c r="AI36" s="381">
        <v>1331</v>
      </c>
      <c r="AJ36" s="381">
        <v>1331</v>
      </c>
      <c r="AK36" s="381">
        <v>-479</v>
      </c>
      <c r="AL36" s="381">
        <v>-479</v>
      </c>
      <c r="AM36" s="381">
        <v>-1832</v>
      </c>
      <c r="AN36" s="381">
        <v>-1832</v>
      </c>
      <c r="AO36" s="381">
        <v>1099</v>
      </c>
      <c r="AP36" s="608">
        <v>1099</v>
      </c>
      <c r="AQ36" s="381">
        <v>-1158</v>
      </c>
      <c r="AR36" s="381">
        <v>-1158</v>
      </c>
      <c r="AS36" s="381">
        <v>-350</v>
      </c>
      <c r="AT36" s="381">
        <v>-350</v>
      </c>
      <c r="AU36" s="381">
        <v>1265</v>
      </c>
      <c r="AV36" s="381">
        <v>1265</v>
      </c>
      <c r="AW36" s="381">
        <v>-612</v>
      </c>
      <c r="AX36" s="381">
        <v>-612</v>
      </c>
      <c r="AY36" s="381">
        <v>-855</v>
      </c>
      <c r="AZ36" s="608">
        <v>-855</v>
      </c>
      <c r="BA36" s="381">
        <v>23</v>
      </c>
      <c r="BB36" s="381">
        <v>23</v>
      </c>
      <c r="BC36" s="381">
        <v>39</v>
      </c>
      <c r="BD36" s="381">
        <v>39</v>
      </c>
      <c r="BE36" s="381">
        <v>-323</v>
      </c>
      <c r="BF36" s="381">
        <v>-323</v>
      </c>
      <c r="BG36" s="381">
        <v>-2</v>
      </c>
      <c r="BH36" s="381">
        <v>-2</v>
      </c>
      <c r="BI36" s="381">
        <v>-263</v>
      </c>
      <c r="BJ36" s="381">
        <v>-263</v>
      </c>
      <c r="BK36" s="773"/>
      <c r="BL36" s="423"/>
    </row>
    <row r="37" spans="2:64">
      <c r="B37" s="376" t="str">
        <f>names!$A368</f>
        <v xml:space="preserve">Petrochemia </v>
      </c>
      <c r="C37" s="379">
        <v>508</v>
      </c>
      <c r="D37" s="379">
        <v>515</v>
      </c>
      <c r="E37" s="379">
        <v>505</v>
      </c>
      <c r="F37" s="379">
        <v>510</v>
      </c>
      <c r="G37" s="379">
        <v>507</v>
      </c>
      <c r="H37" s="379">
        <v>516</v>
      </c>
      <c r="I37" s="379">
        <v>-64</v>
      </c>
      <c r="J37" s="379">
        <v>-36</v>
      </c>
      <c r="K37" s="379">
        <v>1456</v>
      </c>
      <c r="L37" s="609">
        <v>1505</v>
      </c>
      <c r="M37" s="379">
        <v>539</v>
      </c>
      <c r="N37" s="379">
        <v>539</v>
      </c>
      <c r="O37" s="379">
        <v>20</v>
      </c>
      <c r="P37" s="379">
        <v>20</v>
      </c>
      <c r="Q37" s="379">
        <v>277</v>
      </c>
      <c r="R37" s="379">
        <v>278</v>
      </c>
      <c r="S37" s="379">
        <v>549</v>
      </c>
      <c r="T37" s="379">
        <v>558</v>
      </c>
      <c r="U37" s="379">
        <v>1385</v>
      </c>
      <c r="V37" s="609">
        <v>1395</v>
      </c>
      <c r="W37" s="379">
        <v>623</v>
      </c>
      <c r="X37" s="379">
        <v>623</v>
      </c>
      <c r="Y37" s="379">
        <v>788</v>
      </c>
      <c r="Z37" s="379">
        <v>788</v>
      </c>
      <c r="AA37" s="379">
        <v>772</v>
      </c>
      <c r="AB37" s="379">
        <v>772</v>
      </c>
      <c r="AC37" s="379">
        <v>1113</v>
      </c>
      <c r="AD37" s="379">
        <v>1083</v>
      </c>
      <c r="AE37" s="379">
        <v>3296</v>
      </c>
      <c r="AF37" s="609">
        <v>3266</v>
      </c>
      <c r="AG37" s="379">
        <v>182</v>
      </c>
      <c r="AH37" s="379">
        <v>182</v>
      </c>
      <c r="AI37" s="379">
        <v>1370</v>
      </c>
      <c r="AJ37" s="379">
        <v>1370</v>
      </c>
      <c r="AK37" s="379">
        <v>424</v>
      </c>
      <c r="AL37" s="379">
        <v>424</v>
      </c>
      <c r="AM37" s="379">
        <v>202</v>
      </c>
      <c r="AN37" s="379">
        <v>293</v>
      </c>
      <c r="AO37" s="379">
        <v>2178</v>
      </c>
      <c r="AP37" s="609">
        <v>2269</v>
      </c>
      <c r="AQ37" s="379">
        <v>-193</v>
      </c>
      <c r="AR37" s="379">
        <v>-193</v>
      </c>
      <c r="AS37" s="379">
        <v>-411</v>
      </c>
      <c r="AT37" s="379">
        <v>-408</v>
      </c>
      <c r="AU37" s="379">
        <v>-425</v>
      </c>
      <c r="AV37" s="379">
        <v>-425</v>
      </c>
      <c r="AW37" s="379">
        <v>-10738</v>
      </c>
      <c r="AX37" s="379">
        <v>-615</v>
      </c>
      <c r="AY37" s="379">
        <v>-11748</v>
      </c>
      <c r="AZ37" s="609">
        <v>-1622</v>
      </c>
      <c r="BA37" s="379">
        <v>-858</v>
      </c>
      <c r="BB37" s="379">
        <v>-192</v>
      </c>
      <c r="BC37" s="379">
        <v>-836</v>
      </c>
      <c r="BD37" s="379">
        <v>-376</v>
      </c>
      <c r="BE37" s="379">
        <v>-1258</v>
      </c>
      <c r="BF37" s="379">
        <v>-336</v>
      </c>
      <c r="BG37" s="379">
        <v>-955</v>
      </c>
      <c r="BH37" s="379">
        <v>-959</v>
      </c>
      <c r="BI37" s="379">
        <v>-12842</v>
      </c>
      <c r="BJ37" s="379">
        <v>-1925</v>
      </c>
      <c r="BK37" s="773"/>
      <c r="BL37" s="423"/>
    </row>
    <row r="38" spans="2:64" s="375" customFormat="1">
      <c r="B38" s="488" t="str">
        <f>names!$A369</f>
        <v>efekt LIFO (Petrochemia)</v>
      </c>
      <c r="C38" s="381">
        <v>19</v>
      </c>
      <c r="D38" s="381">
        <v>19</v>
      </c>
      <c r="E38" s="381">
        <v>-11</v>
      </c>
      <c r="F38" s="381">
        <v>-11</v>
      </c>
      <c r="G38" s="381">
        <v>-32</v>
      </c>
      <c r="H38" s="381">
        <v>-32</v>
      </c>
      <c r="I38" s="381">
        <v>38</v>
      </c>
      <c r="J38" s="381">
        <v>38</v>
      </c>
      <c r="K38" s="381">
        <v>14</v>
      </c>
      <c r="L38" s="608">
        <v>14</v>
      </c>
      <c r="M38" s="381">
        <v>-126</v>
      </c>
      <c r="N38" s="381">
        <v>-126</v>
      </c>
      <c r="O38" s="381">
        <v>60</v>
      </c>
      <c r="P38" s="381">
        <v>60</v>
      </c>
      <c r="Q38" s="381">
        <v>-3</v>
      </c>
      <c r="R38" s="381">
        <v>-3</v>
      </c>
      <c r="S38" s="381">
        <v>-25</v>
      </c>
      <c r="T38" s="381">
        <v>-25</v>
      </c>
      <c r="U38" s="381">
        <v>-94</v>
      </c>
      <c r="V38" s="608">
        <v>-94</v>
      </c>
      <c r="W38" s="381">
        <v>68</v>
      </c>
      <c r="X38" s="381">
        <v>68</v>
      </c>
      <c r="Y38" s="381">
        <v>40</v>
      </c>
      <c r="Z38" s="381">
        <v>40</v>
      </c>
      <c r="AA38" s="381">
        <v>30</v>
      </c>
      <c r="AB38" s="381">
        <v>30</v>
      </c>
      <c r="AC38" s="381">
        <v>56</v>
      </c>
      <c r="AD38" s="381">
        <v>56</v>
      </c>
      <c r="AE38" s="381">
        <v>194</v>
      </c>
      <c r="AF38" s="608">
        <v>194</v>
      </c>
      <c r="AG38" s="381">
        <v>95</v>
      </c>
      <c r="AH38" s="381">
        <v>95</v>
      </c>
      <c r="AI38" s="381">
        <v>-10</v>
      </c>
      <c r="AJ38" s="381">
        <v>-10</v>
      </c>
      <c r="AK38" s="381">
        <v>-74</v>
      </c>
      <c r="AL38" s="381">
        <v>-74</v>
      </c>
      <c r="AM38" s="381">
        <v>-13</v>
      </c>
      <c r="AN38" s="381">
        <v>-13</v>
      </c>
      <c r="AO38" s="381">
        <v>-2</v>
      </c>
      <c r="AP38" s="608">
        <v>-2</v>
      </c>
      <c r="AQ38" s="381">
        <v>-13</v>
      </c>
      <c r="AR38" s="381">
        <v>-13</v>
      </c>
      <c r="AS38" s="381">
        <v>-34</v>
      </c>
      <c r="AT38" s="381">
        <v>-34</v>
      </c>
      <c r="AU38" s="381">
        <v>18</v>
      </c>
      <c r="AV38" s="381">
        <v>18</v>
      </c>
      <c r="AW38" s="381">
        <v>-15</v>
      </c>
      <c r="AX38" s="381">
        <v>-15</v>
      </c>
      <c r="AY38" s="381">
        <v>-44</v>
      </c>
      <c r="AZ38" s="608">
        <v>-44</v>
      </c>
      <c r="BA38" s="381">
        <v>41</v>
      </c>
      <c r="BB38" s="381">
        <v>41</v>
      </c>
      <c r="BC38" s="381">
        <v>-6</v>
      </c>
      <c r="BD38" s="381">
        <v>-6</v>
      </c>
      <c r="BE38" s="381">
        <v>-1</v>
      </c>
      <c r="BF38" s="381">
        <v>-1</v>
      </c>
      <c r="BG38" s="381">
        <v>-42</v>
      </c>
      <c r="BH38" s="381">
        <v>-42</v>
      </c>
      <c r="BI38" s="381">
        <v>-8</v>
      </c>
      <c r="BJ38" s="381">
        <v>-8</v>
      </c>
      <c r="BK38" s="773"/>
      <c r="BL38" s="423"/>
    </row>
    <row r="39" spans="2:64">
      <c r="B39" s="376" t="str">
        <f>names!$A370</f>
        <v>Energetyka</v>
      </c>
      <c r="C39" s="379">
        <v>133</v>
      </c>
      <c r="D39" s="379">
        <v>137</v>
      </c>
      <c r="E39" s="379">
        <v>326</v>
      </c>
      <c r="F39" s="379">
        <v>326</v>
      </c>
      <c r="G39" s="379">
        <v>406</v>
      </c>
      <c r="H39" s="379">
        <v>406</v>
      </c>
      <c r="I39" s="379">
        <v>262</v>
      </c>
      <c r="J39" s="379">
        <v>264</v>
      </c>
      <c r="K39" s="379">
        <v>1127</v>
      </c>
      <c r="L39" s="609">
        <v>1133</v>
      </c>
      <c r="M39" s="379">
        <v>371</v>
      </c>
      <c r="N39" s="379">
        <v>371</v>
      </c>
      <c r="O39" s="379">
        <v>4522</v>
      </c>
      <c r="P39" s="379">
        <v>4524</v>
      </c>
      <c r="Q39" s="379">
        <v>644</v>
      </c>
      <c r="R39" s="379">
        <v>645</v>
      </c>
      <c r="S39" s="379">
        <v>980</v>
      </c>
      <c r="T39" s="379">
        <v>982</v>
      </c>
      <c r="U39" s="379">
        <v>6517</v>
      </c>
      <c r="V39" s="609">
        <v>6522</v>
      </c>
      <c r="W39" s="379">
        <v>864</v>
      </c>
      <c r="X39" s="379">
        <v>864</v>
      </c>
      <c r="Y39" s="379">
        <v>773</v>
      </c>
      <c r="Z39" s="379">
        <v>835</v>
      </c>
      <c r="AA39" s="379">
        <v>646</v>
      </c>
      <c r="AB39" s="379">
        <v>644</v>
      </c>
      <c r="AC39" s="379">
        <v>-268</v>
      </c>
      <c r="AD39" s="379">
        <v>-251</v>
      </c>
      <c r="AE39" s="379">
        <v>2015</v>
      </c>
      <c r="AF39" s="609">
        <v>2092</v>
      </c>
      <c r="AG39" s="379">
        <v>594</v>
      </c>
      <c r="AH39" s="379">
        <v>594</v>
      </c>
      <c r="AI39" s="379">
        <v>743</v>
      </c>
      <c r="AJ39" s="379">
        <v>758</v>
      </c>
      <c r="AK39" s="379">
        <v>1188</v>
      </c>
      <c r="AL39" s="379">
        <v>1195</v>
      </c>
      <c r="AM39" s="379">
        <v>-637</v>
      </c>
      <c r="AN39" s="379">
        <v>-611</v>
      </c>
      <c r="AO39" s="379">
        <v>1888</v>
      </c>
      <c r="AP39" s="609">
        <v>1936</v>
      </c>
      <c r="AQ39" s="379">
        <v>2284</v>
      </c>
      <c r="AR39" s="379">
        <v>2285</v>
      </c>
      <c r="AS39" s="379">
        <v>-25</v>
      </c>
      <c r="AT39" s="379">
        <v>-22</v>
      </c>
      <c r="AU39" s="379">
        <v>770</v>
      </c>
      <c r="AV39" s="379">
        <v>774</v>
      </c>
      <c r="AW39" s="379">
        <v>-596</v>
      </c>
      <c r="AX39" s="379">
        <v>-582</v>
      </c>
      <c r="AY39" s="379">
        <v>2526</v>
      </c>
      <c r="AZ39" s="609">
        <v>2548</v>
      </c>
      <c r="BA39" s="379">
        <v>1830</v>
      </c>
      <c r="BB39" s="379">
        <v>1835</v>
      </c>
      <c r="BC39" s="379">
        <v>1344</v>
      </c>
      <c r="BD39" s="379">
        <v>1348</v>
      </c>
      <c r="BE39" s="379">
        <v>295</v>
      </c>
      <c r="BF39" s="379">
        <v>330</v>
      </c>
      <c r="BG39" s="379">
        <v>1549</v>
      </c>
      <c r="BH39" s="379">
        <v>1584</v>
      </c>
      <c r="BI39" s="379">
        <v>4899</v>
      </c>
      <c r="BJ39" s="379">
        <v>5348</v>
      </c>
      <c r="BK39" s="773"/>
      <c r="BL39" s="423"/>
    </row>
    <row r="40" spans="2:64">
      <c r="B40" s="376" t="str">
        <f>names!$A371</f>
        <v xml:space="preserve">Detal </v>
      </c>
      <c r="C40" s="379">
        <v>521</v>
      </c>
      <c r="D40" s="379">
        <v>519</v>
      </c>
      <c r="E40" s="379">
        <v>702</v>
      </c>
      <c r="F40" s="379">
        <v>706</v>
      </c>
      <c r="G40" s="379">
        <v>766</v>
      </c>
      <c r="H40" s="379">
        <v>767</v>
      </c>
      <c r="I40" s="379">
        <v>442</v>
      </c>
      <c r="J40" s="379">
        <v>423</v>
      </c>
      <c r="K40" s="379">
        <v>2431</v>
      </c>
      <c r="L40" s="609">
        <v>2415</v>
      </c>
      <c r="M40" s="379">
        <v>535</v>
      </c>
      <c r="N40" s="379">
        <v>539</v>
      </c>
      <c r="O40" s="379">
        <v>535</v>
      </c>
      <c r="P40" s="379">
        <v>542</v>
      </c>
      <c r="Q40" s="379">
        <v>857</v>
      </c>
      <c r="R40" s="379">
        <v>859</v>
      </c>
      <c r="S40" s="379">
        <v>546</v>
      </c>
      <c r="T40" s="379">
        <v>572</v>
      </c>
      <c r="U40" s="379">
        <v>2473</v>
      </c>
      <c r="V40" s="609">
        <v>2512</v>
      </c>
      <c r="W40" s="379">
        <v>340</v>
      </c>
      <c r="X40" s="379">
        <v>342</v>
      </c>
      <c r="Y40" s="379">
        <v>625</v>
      </c>
      <c r="Z40" s="379">
        <v>629</v>
      </c>
      <c r="AA40" s="379">
        <v>743</v>
      </c>
      <c r="AB40" s="379">
        <v>745</v>
      </c>
      <c r="AC40" s="379">
        <v>337</v>
      </c>
      <c r="AD40" s="379">
        <v>376</v>
      </c>
      <c r="AE40" s="379">
        <v>2045</v>
      </c>
      <c r="AF40" s="609">
        <v>2092</v>
      </c>
      <c r="AG40" s="379">
        <v>377</v>
      </c>
      <c r="AH40" s="379">
        <v>379</v>
      </c>
      <c r="AI40" s="379">
        <v>485</v>
      </c>
      <c r="AJ40" s="379">
        <v>487</v>
      </c>
      <c r="AK40" s="379">
        <v>641</v>
      </c>
      <c r="AL40" s="379">
        <v>642</v>
      </c>
      <c r="AM40" s="379">
        <v>385</v>
      </c>
      <c r="AN40" s="379">
        <v>394</v>
      </c>
      <c r="AO40" s="379">
        <v>1888</v>
      </c>
      <c r="AP40" s="609">
        <v>1902</v>
      </c>
      <c r="AQ40" s="379">
        <v>-3</v>
      </c>
      <c r="AR40" s="379">
        <v>0</v>
      </c>
      <c r="AS40" s="379">
        <v>403</v>
      </c>
      <c r="AT40" s="379">
        <v>404</v>
      </c>
      <c r="AU40" s="379">
        <v>348</v>
      </c>
      <c r="AV40" s="379">
        <v>350</v>
      </c>
      <c r="AW40" s="379">
        <v>437</v>
      </c>
      <c r="AX40" s="379">
        <v>438</v>
      </c>
      <c r="AY40" s="379">
        <v>1175</v>
      </c>
      <c r="AZ40" s="609">
        <v>1182</v>
      </c>
      <c r="BA40" s="379">
        <v>236</v>
      </c>
      <c r="BB40" s="379">
        <v>236</v>
      </c>
      <c r="BC40" s="379">
        <v>609</v>
      </c>
      <c r="BD40" s="379">
        <v>609</v>
      </c>
      <c r="BE40" s="379">
        <v>782</v>
      </c>
      <c r="BF40" s="379">
        <v>785</v>
      </c>
      <c r="BG40" s="379">
        <v>212</v>
      </c>
      <c r="BH40" s="379">
        <v>318</v>
      </c>
      <c r="BI40" s="379">
        <v>1711</v>
      </c>
      <c r="BJ40" s="379">
        <v>1916</v>
      </c>
      <c r="BK40" s="773"/>
      <c r="BL40" s="423"/>
    </row>
    <row r="41" spans="2:64">
      <c r="B41" s="376" t="str">
        <f>names!$A372</f>
        <v xml:space="preserve">Wydobycie </v>
      </c>
      <c r="C41" s="379">
        <v>23</v>
      </c>
      <c r="D41" s="379">
        <v>24</v>
      </c>
      <c r="E41" s="379">
        <v>16</v>
      </c>
      <c r="F41" s="379">
        <v>17</v>
      </c>
      <c r="G41" s="379">
        <v>-77</v>
      </c>
      <c r="H41" s="379">
        <v>-15</v>
      </c>
      <c r="I41" s="379">
        <v>-117</v>
      </c>
      <c r="J41" s="379">
        <v>-50</v>
      </c>
      <c r="K41" s="379">
        <v>-155</v>
      </c>
      <c r="L41" s="609">
        <v>-24</v>
      </c>
      <c r="M41" s="379">
        <v>-371</v>
      </c>
      <c r="N41" s="379">
        <v>125</v>
      </c>
      <c r="O41" s="379">
        <v>-201</v>
      </c>
      <c r="P41" s="379">
        <v>-68</v>
      </c>
      <c r="Q41" s="379">
        <v>-18</v>
      </c>
      <c r="R41" s="379">
        <v>-28</v>
      </c>
      <c r="S41" s="379">
        <v>-860</v>
      </c>
      <c r="T41" s="379">
        <v>-57</v>
      </c>
      <c r="U41" s="379">
        <v>-1450</v>
      </c>
      <c r="V41" s="609">
        <v>-28</v>
      </c>
      <c r="W41" s="379">
        <v>-61</v>
      </c>
      <c r="X41" s="379">
        <v>-61</v>
      </c>
      <c r="Y41" s="379">
        <v>-22</v>
      </c>
      <c r="Z41" s="379">
        <v>-22</v>
      </c>
      <c r="AA41" s="379">
        <v>50</v>
      </c>
      <c r="AB41" s="379">
        <v>50</v>
      </c>
      <c r="AC41" s="379">
        <v>1078</v>
      </c>
      <c r="AD41" s="379">
        <v>160</v>
      </c>
      <c r="AE41" s="379">
        <v>1045</v>
      </c>
      <c r="AF41" s="609">
        <v>127</v>
      </c>
      <c r="AG41" s="379">
        <v>92</v>
      </c>
      <c r="AH41" s="379">
        <v>92</v>
      </c>
      <c r="AI41" s="379">
        <v>199</v>
      </c>
      <c r="AJ41" s="379">
        <v>231</v>
      </c>
      <c r="AK41" s="379">
        <v>537</v>
      </c>
      <c r="AL41" s="379">
        <v>577</v>
      </c>
      <c r="AM41" s="379">
        <v>5229</v>
      </c>
      <c r="AN41" s="379">
        <v>5339</v>
      </c>
      <c r="AO41" s="379">
        <v>6057</v>
      </c>
      <c r="AP41" s="609">
        <v>6239</v>
      </c>
      <c r="AQ41" s="379">
        <v>-1571</v>
      </c>
      <c r="AR41" s="379">
        <v>658</v>
      </c>
      <c r="AS41" s="379">
        <v>-1424</v>
      </c>
      <c r="AT41" s="379">
        <v>-1383</v>
      </c>
      <c r="AU41" s="379">
        <v>-1513</v>
      </c>
      <c r="AV41" s="379">
        <v>-1499</v>
      </c>
      <c r="AW41" s="379">
        <v>-4856</v>
      </c>
      <c r="AX41" s="379">
        <v>-1280</v>
      </c>
      <c r="AY41" s="379">
        <v>-9077</v>
      </c>
      <c r="AZ41" s="609">
        <v>-3217</v>
      </c>
      <c r="BA41" s="379">
        <v>-5433</v>
      </c>
      <c r="BB41" s="379">
        <v>-5390</v>
      </c>
      <c r="BC41" s="379">
        <v>-5310</v>
      </c>
      <c r="BD41" s="379">
        <v>-5291</v>
      </c>
      <c r="BE41" s="379">
        <v>1961</v>
      </c>
      <c r="BF41" s="379">
        <v>2142</v>
      </c>
      <c r="BG41" s="379">
        <v>2747</v>
      </c>
      <c r="BH41" s="379">
        <v>3558</v>
      </c>
      <c r="BI41" s="379">
        <v>-5004</v>
      </c>
      <c r="BJ41" s="379">
        <v>-4865</v>
      </c>
      <c r="BK41" s="773"/>
      <c r="BL41" s="423"/>
    </row>
    <row r="42" spans="2:64">
      <c r="B42" s="376" t="str">
        <f>names!$A373</f>
        <v>Gaz</v>
      </c>
      <c r="C42" s="379" t="s">
        <v>249</v>
      </c>
      <c r="D42" s="379" t="s">
        <v>249</v>
      </c>
      <c r="E42" s="379" t="s">
        <v>249</v>
      </c>
      <c r="F42" s="379" t="s">
        <v>249</v>
      </c>
      <c r="G42" s="379" t="s">
        <v>249</v>
      </c>
      <c r="H42" s="379" t="s">
        <v>249</v>
      </c>
      <c r="I42" s="379" t="s">
        <v>249</v>
      </c>
      <c r="J42" s="379" t="s">
        <v>249</v>
      </c>
      <c r="K42" s="379" t="s">
        <v>249</v>
      </c>
      <c r="L42" s="609" t="s">
        <v>249</v>
      </c>
      <c r="M42" s="379" t="s">
        <v>249</v>
      </c>
      <c r="N42" s="379" t="s">
        <v>249</v>
      </c>
      <c r="O42" s="379" t="s">
        <v>249</v>
      </c>
      <c r="P42" s="379" t="s">
        <v>249</v>
      </c>
      <c r="Q42" s="379" t="s">
        <v>249</v>
      </c>
      <c r="R42" s="379" t="s">
        <v>249</v>
      </c>
      <c r="S42" s="379" t="s">
        <v>249</v>
      </c>
      <c r="T42" s="379" t="s">
        <v>249</v>
      </c>
      <c r="U42" s="379" t="s">
        <v>249</v>
      </c>
      <c r="V42" s="609" t="s">
        <v>249</v>
      </c>
      <c r="W42" s="379" t="s">
        <v>249</v>
      </c>
      <c r="X42" s="379" t="s">
        <v>249</v>
      </c>
      <c r="Y42" s="379" t="s">
        <v>249</v>
      </c>
      <c r="Z42" s="379" t="s">
        <v>249</v>
      </c>
      <c r="AA42" s="379" t="s">
        <v>249</v>
      </c>
      <c r="AB42" s="379" t="s">
        <v>249</v>
      </c>
      <c r="AC42" s="379" t="s">
        <v>249</v>
      </c>
      <c r="AD42" s="379" t="s">
        <v>249</v>
      </c>
      <c r="AE42" s="379" t="s">
        <v>249</v>
      </c>
      <c r="AF42" s="609" t="s">
        <v>249</v>
      </c>
      <c r="AG42" s="379" t="s">
        <v>249</v>
      </c>
      <c r="AH42" s="379" t="s">
        <v>249</v>
      </c>
      <c r="AI42" s="379" t="s">
        <v>249</v>
      </c>
      <c r="AJ42" s="379" t="s">
        <v>249</v>
      </c>
      <c r="AK42" s="379" t="s">
        <v>249</v>
      </c>
      <c r="AL42" s="379" t="s">
        <v>249</v>
      </c>
      <c r="AM42" s="379">
        <v>5583</v>
      </c>
      <c r="AN42" s="379">
        <v>5627</v>
      </c>
      <c r="AO42" s="379">
        <v>5583</v>
      </c>
      <c r="AP42" s="609">
        <v>5627</v>
      </c>
      <c r="AQ42" s="379">
        <v>8746</v>
      </c>
      <c r="AR42" s="379">
        <v>8746</v>
      </c>
      <c r="AS42" s="379">
        <v>7323</v>
      </c>
      <c r="AT42" s="379">
        <v>7335</v>
      </c>
      <c r="AU42" s="379">
        <v>5690</v>
      </c>
      <c r="AV42" s="379">
        <v>6692</v>
      </c>
      <c r="AW42" s="379">
        <v>20796</v>
      </c>
      <c r="AX42" s="379">
        <v>20797</v>
      </c>
      <c r="AY42" s="379">
        <v>43568</v>
      </c>
      <c r="AZ42" s="609">
        <v>43587</v>
      </c>
      <c r="BA42" s="379">
        <v>7403</v>
      </c>
      <c r="BB42" s="379">
        <v>7405</v>
      </c>
      <c r="BC42" s="379">
        <v>3611</v>
      </c>
      <c r="BD42" s="379">
        <v>3643</v>
      </c>
      <c r="BE42" s="379">
        <v>2931</v>
      </c>
      <c r="BF42" s="379">
        <v>2931</v>
      </c>
      <c r="BG42" s="379">
        <v>3767</v>
      </c>
      <c r="BH42" s="379">
        <v>3844</v>
      </c>
      <c r="BI42" s="379">
        <v>17917</v>
      </c>
      <c r="BJ42" s="379">
        <v>18028</v>
      </c>
      <c r="BK42" s="773"/>
      <c r="BL42" s="423"/>
    </row>
    <row r="43" spans="2:64">
      <c r="B43" s="376" t="str">
        <f>names!$A374</f>
        <v>Corporate functions</v>
      </c>
      <c r="C43" s="379">
        <v>-240</v>
      </c>
      <c r="D43" s="379">
        <v>-240</v>
      </c>
      <c r="E43" s="379">
        <v>-245</v>
      </c>
      <c r="F43" s="379">
        <v>-239</v>
      </c>
      <c r="G43" s="379">
        <v>-286</v>
      </c>
      <c r="H43" s="379">
        <v>-285</v>
      </c>
      <c r="I43" s="379">
        <v>-239</v>
      </c>
      <c r="J43" s="379">
        <v>-239</v>
      </c>
      <c r="K43" s="379">
        <v>-1010</v>
      </c>
      <c r="L43" s="609">
        <v>-1003</v>
      </c>
      <c r="M43" s="379">
        <v>-269</v>
      </c>
      <c r="N43" s="379">
        <v>-269</v>
      </c>
      <c r="O43" s="379">
        <v>-395</v>
      </c>
      <c r="P43" s="379">
        <v>-395</v>
      </c>
      <c r="Q43" s="379">
        <v>-317</v>
      </c>
      <c r="R43" s="379">
        <v>-317</v>
      </c>
      <c r="S43" s="379">
        <v>-353</v>
      </c>
      <c r="T43" s="379">
        <v>-349</v>
      </c>
      <c r="U43" s="379">
        <v>-1334</v>
      </c>
      <c r="V43" s="609">
        <v>-1330</v>
      </c>
      <c r="W43" s="379">
        <v>-347</v>
      </c>
      <c r="X43" s="379">
        <v>-347</v>
      </c>
      <c r="Y43" s="379">
        <v>-303</v>
      </c>
      <c r="Z43" s="379">
        <v>-303</v>
      </c>
      <c r="AA43" s="379">
        <v>-100</v>
      </c>
      <c r="AB43" s="379">
        <v>-100</v>
      </c>
      <c r="AC43" s="379">
        <v>-264</v>
      </c>
      <c r="AD43" s="379">
        <v>-261</v>
      </c>
      <c r="AE43" s="379">
        <v>-1014</v>
      </c>
      <c r="AF43" s="609">
        <v>-1011</v>
      </c>
      <c r="AG43" s="379">
        <v>-395</v>
      </c>
      <c r="AH43" s="379">
        <v>-395</v>
      </c>
      <c r="AI43" s="379">
        <v>-378</v>
      </c>
      <c r="AJ43" s="379">
        <v>-378</v>
      </c>
      <c r="AK43" s="379">
        <v>8146</v>
      </c>
      <c r="AL43" s="379">
        <v>8148</v>
      </c>
      <c r="AM43" s="379">
        <v>6140</v>
      </c>
      <c r="AN43" s="379">
        <v>6147</v>
      </c>
      <c r="AO43" s="379">
        <v>13513</v>
      </c>
      <c r="AP43" s="609">
        <v>13522</v>
      </c>
      <c r="AQ43" s="379">
        <v>-486</v>
      </c>
      <c r="AR43" s="379">
        <v>-486</v>
      </c>
      <c r="AS43" s="379">
        <v>-530</v>
      </c>
      <c r="AT43" s="379">
        <v>-530</v>
      </c>
      <c r="AU43" s="379">
        <v>-518</v>
      </c>
      <c r="AV43" s="379">
        <v>-518</v>
      </c>
      <c r="AW43" s="379">
        <v>-482</v>
      </c>
      <c r="AX43" s="379">
        <v>-472</v>
      </c>
      <c r="AY43" s="379">
        <v>-1995</v>
      </c>
      <c r="AZ43" s="609">
        <v>-1985</v>
      </c>
      <c r="BA43" s="379">
        <v>-740</v>
      </c>
      <c r="BB43" s="379">
        <v>-740</v>
      </c>
      <c r="BC43" s="379">
        <v>-553</v>
      </c>
      <c r="BD43" s="379">
        <v>-552</v>
      </c>
      <c r="BE43" s="379">
        <v>-528</v>
      </c>
      <c r="BF43" s="379">
        <v>-496</v>
      </c>
      <c r="BG43" s="379">
        <v>-532</v>
      </c>
      <c r="BH43" s="379">
        <v>-521</v>
      </c>
      <c r="BI43" s="379">
        <v>-2342</v>
      </c>
      <c r="BJ43" s="379">
        <v>-2295</v>
      </c>
      <c r="BK43" s="773"/>
      <c r="BL43" s="423"/>
    </row>
    <row r="44" spans="2:64" ht="12" thickBot="1">
      <c r="B44" s="377" t="str">
        <f>names!$A375</f>
        <v>Wyłączenia</v>
      </c>
      <c r="C44" s="383">
        <v>0</v>
      </c>
      <c r="D44" s="383">
        <v>0</v>
      </c>
      <c r="E44" s="383">
        <v>0</v>
      </c>
      <c r="F44" s="383">
        <v>0</v>
      </c>
      <c r="G44" s="383">
        <v>0</v>
      </c>
      <c r="H44" s="383">
        <v>0</v>
      </c>
      <c r="I44" s="383">
        <v>0</v>
      </c>
      <c r="J44" s="383">
        <v>0</v>
      </c>
      <c r="K44" s="383">
        <v>0</v>
      </c>
      <c r="L44" s="610">
        <v>0</v>
      </c>
      <c r="M44" s="383">
        <v>0</v>
      </c>
      <c r="N44" s="383">
        <v>0</v>
      </c>
      <c r="O44" s="383">
        <v>0</v>
      </c>
      <c r="P44" s="383">
        <v>0</v>
      </c>
      <c r="Q44" s="383">
        <v>0</v>
      </c>
      <c r="R44" s="383">
        <v>0</v>
      </c>
      <c r="S44" s="383">
        <v>0</v>
      </c>
      <c r="T44" s="383">
        <v>0</v>
      </c>
      <c r="U44" s="383">
        <v>0</v>
      </c>
      <c r="V44" s="610">
        <v>0</v>
      </c>
      <c r="W44" s="383">
        <v>0</v>
      </c>
      <c r="X44" s="383">
        <v>0</v>
      </c>
      <c r="Y44" s="383">
        <v>0</v>
      </c>
      <c r="Z44" s="383">
        <v>0</v>
      </c>
      <c r="AA44" s="383">
        <v>0</v>
      </c>
      <c r="AB44" s="383">
        <v>0</v>
      </c>
      <c r="AC44" s="383">
        <v>0</v>
      </c>
      <c r="AD44" s="383">
        <v>0</v>
      </c>
      <c r="AE44" s="383">
        <v>0</v>
      </c>
      <c r="AF44" s="610">
        <v>0</v>
      </c>
      <c r="AG44" s="383">
        <v>0</v>
      </c>
      <c r="AH44" s="383">
        <v>0</v>
      </c>
      <c r="AI44" s="383">
        <v>0</v>
      </c>
      <c r="AJ44" s="383">
        <v>0</v>
      </c>
      <c r="AK44" s="383">
        <v>-5</v>
      </c>
      <c r="AL44" s="383">
        <v>-5</v>
      </c>
      <c r="AM44" s="383">
        <v>-6</v>
      </c>
      <c r="AN44" s="383">
        <v>-6</v>
      </c>
      <c r="AO44" s="383">
        <v>-11</v>
      </c>
      <c r="AP44" s="610">
        <v>-11</v>
      </c>
      <c r="AQ44" s="383">
        <v>-8</v>
      </c>
      <c r="AR44" s="383">
        <v>-8</v>
      </c>
      <c r="AS44" s="383">
        <v>11</v>
      </c>
      <c r="AT44" s="383">
        <v>11</v>
      </c>
      <c r="AU44" s="383">
        <v>-17</v>
      </c>
      <c r="AV44" s="383">
        <v>-17</v>
      </c>
      <c r="AW44" s="383">
        <v>10</v>
      </c>
      <c r="AX44" s="383">
        <v>10</v>
      </c>
      <c r="AY44" s="383">
        <v>-4</v>
      </c>
      <c r="AZ44" s="610">
        <v>-4</v>
      </c>
      <c r="BA44" s="383">
        <v>-3</v>
      </c>
      <c r="BB44" s="383">
        <v>-3</v>
      </c>
      <c r="BC44" s="383">
        <v>21</v>
      </c>
      <c r="BD44" s="383">
        <v>21</v>
      </c>
      <c r="BE44" s="383">
        <v>0</v>
      </c>
      <c r="BF44" s="383">
        <v>0</v>
      </c>
      <c r="BG44" s="383">
        <v>0</v>
      </c>
      <c r="BH44" s="383">
        <v>0</v>
      </c>
      <c r="BI44" s="383">
        <v>18</v>
      </c>
      <c r="BJ44" s="383">
        <v>18</v>
      </c>
      <c r="BK44" s="773"/>
      <c r="BL44" s="423"/>
    </row>
    <row r="45" spans="2:64" ht="12" thickBot="1">
      <c r="B45" s="413" t="str">
        <f>names!$A376</f>
        <v>EBIT LIFO</v>
      </c>
      <c r="C45" s="412">
        <v>1171</v>
      </c>
      <c r="D45" s="412">
        <v>1181</v>
      </c>
      <c r="E45" s="412">
        <v>1869</v>
      </c>
      <c r="F45" s="412">
        <v>1886</v>
      </c>
      <c r="G45" s="412">
        <v>2201</v>
      </c>
      <c r="H45" s="412">
        <v>2274</v>
      </c>
      <c r="I45" s="412">
        <v>255</v>
      </c>
      <c r="J45" s="412">
        <v>334</v>
      </c>
      <c r="K45" s="412">
        <v>5496</v>
      </c>
      <c r="L45" s="611">
        <v>5675</v>
      </c>
      <c r="M45" s="412">
        <v>168</v>
      </c>
      <c r="N45" s="412">
        <v>672</v>
      </c>
      <c r="O45" s="412">
        <v>4801</v>
      </c>
      <c r="P45" s="412">
        <v>4947</v>
      </c>
      <c r="Q45" s="412">
        <v>790</v>
      </c>
      <c r="R45" s="412">
        <v>782</v>
      </c>
      <c r="S45" s="412">
        <v>523</v>
      </c>
      <c r="T45" s="412">
        <v>1472</v>
      </c>
      <c r="U45" s="412">
        <v>6282</v>
      </c>
      <c r="V45" s="611">
        <v>7873</v>
      </c>
      <c r="W45" s="412">
        <v>1110</v>
      </c>
      <c r="X45" s="412">
        <v>1114</v>
      </c>
      <c r="Y45" s="412">
        <v>1792</v>
      </c>
      <c r="Z45" s="412">
        <v>1877</v>
      </c>
      <c r="AA45" s="412">
        <v>2968</v>
      </c>
      <c r="AB45" s="412">
        <v>2971</v>
      </c>
      <c r="AC45" s="412">
        <v>3754</v>
      </c>
      <c r="AD45" s="412">
        <v>2851</v>
      </c>
      <c r="AE45" s="412">
        <v>9624</v>
      </c>
      <c r="AF45" s="611">
        <v>8813</v>
      </c>
      <c r="AG45" s="412">
        <v>1359</v>
      </c>
      <c r="AH45" s="412">
        <v>1386</v>
      </c>
      <c r="AI45" s="412">
        <v>3897</v>
      </c>
      <c r="AJ45" s="412">
        <v>6757</v>
      </c>
      <c r="AK45" s="412">
        <v>17883</v>
      </c>
      <c r="AL45" s="412">
        <v>17936</v>
      </c>
      <c r="AM45" s="412">
        <v>24114</v>
      </c>
      <c r="AN45" s="412">
        <v>27218</v>
      </c>
      <c r="AO45" s="412">
        <v>47253</v>
      </c>
      <c r="AP45" s="611">
        <v>53297</v>
      </c>
      <c r="AQ45" s="412">
        <v>13889</v>
      </c>
      <c r="AR45" s="412">
        <v>16122</v>
      </c>
      <c r="AS45" s="412">
        <v>7482</v>
      </c>
      <c r="AT45" s="412">
        <v>7559</v>
      </c>
      <c r="AU45" s="412">
        <v>5835</v>
      </c>
      <c r="AV45" s="412">
        <v>6857</v>
      </c>
      <c r="AW45" s="412">
        <v>3639</v>
      </c>
      <c r="AX45" s="412">
        <v>17516</v>
      </c>
      <c r="AY45" s="412">
        <v>32220</v>
      </c>
      <c r="AZ45" s="611">
        <v>48433</v>
      </c>
      <c r="BA45" s="412">
        <v>4310</v>
      </c>
      <c r="BB45" s="412">
        <v>5028</v>
      </c>
      <c r="BC45" s="412">
        <v>1081</v>
      </c>
      <c r="BD45" s="412">
        <v>1602</v>
      </c>
      <c r="BE45" s="412">
        <v>1919</v>
      </c>
      <c r="BF45" s="412">
        <v>5443</v>
      </c>
      <c r="BG45" s="412">
        <v>7814</v>
      </c>
      <c r="BH45" s="412">
        <v>8943</v>
      </c>
      <c r="BI45" s="412">
        <v>8218</v>
      </c>
      <c r="BJ45" s="412">
        <v>21733</v>
      </c>
      <c r="BK45" s="773"/>
      <c r="BL45" s="423"/>
    </row>
    <row r="46" spans="2:64">
      <c r="B46" s="371" t="str">
        <f>names!$A377</f>
        <v>*) Segment rafineria, petrochemia i enegetyka: dane przekształcone.</v>
      </c>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78"/>
      <c r="AU46" s="378"/>
      <c r="AV46" s="378"/>
      <c r="AW46" s="378"/>
      <c r="AX46" s="378"/>
      <c r="AY46" s="378"/>
      <c r="AZ46" s="378"/>
      <c r="BA46" s="378"/>
      <c r="BB46" s="378"/>
      <c r="BC46" s="378"/>
      <c r="BD46" s="378"/>
      <c r="BE46" s="378"/>
      <c r="BF46" s="378"/>
      <c r="BG46" s="378"/>
      <c r="BH46" s="378"/>
      <c r="BI46" s="378"/>
      <c r="BJ46" s="378"/>
    </row>
    <row r="47" spans="2:64">
      <c r="B47" s="371" t="str">
        <f>names!$A378</f>
        <v>**) Odpis z tytułu utraty wartości aktywów zgodnie z MSR 36.</v>
      </c>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c r="AR47" s="378"/>
      <c r="AS47" s="378"/>
      <c r="AT47" s="378"/>
      <c r="AU47" s="378"/>
      <c r="AV47" s="378"/>
      <c r="AW47" s="418"/>
      <c r="AX47" s="418"/>
      <c r="AY47" s="418"/>
      <c r="AZ47" s="378"/>
      <c r="BA47" s="378"/>
      <c r="BB47" s="378"/>
      <c r="BC47" s="378"/>
      <c r="BD47" s="378"/>
      <c r="BE47" s="378"/>
      <c r="BF47" s="378"/>
      <c r="BG47" s="418"/>
      <c r="BH47" s="418"/>
      <c r="BI47" s="418"/>
      <c r="BJ47" s="378"/>
    </row>
    <row r="48" spans="2:64">
      <c r="B48" s="499"/>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78"/>
      <c r="AU48" s="378"/>
      <c r="AV48" s="378"/>
      <c r="AW48" s="378"/>
      <c r="AX48" s="378"/>
      <c r="AY48" s="378"/>
      <c r="AZ48" s="378"/>
      <c r="BA48" s="378"/>
      <c r="BB48" s="378"/>
      <c r="BC48" s="378"/>
      <c r="BD48" s="378"/>
      <c r="BE48" s="378"/>
      <c r="BF48" s="378"/>
      <c r="BG48" s="378"/>
      <c r="BH48" s="378"/>
      <c r="BI48" s="378"/>
      <c r="BJ48" s="378"/>
    </row>
    <row r="49" spans="2:63">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8"/>
      <c r="BB49" s="378"/>
      <c r="BC49" s="378"/>
      <c r="BD49" s="378"/>
      <c r="BE49" s="378"/>
      <c r="BF49" s="378"/>
      <c r="BG49" s="378"/>
      <c r="BH49" s="378"/>
      <c r="BI49" s="378"/>
      <c r="BJ49" s="378"/>
    </row>
    <row r="50" spans="2:63" s="471" customFormat="1" hidden="1" outlineLevel="1">
      <c r="B50" s="417" t="str">
        <f>names!$A381</f>
        <v>LIFO</v>
      </c>
      <c r="C50" s="472">
        <v>-175</v>
      </c>
      <c r="D50" s="472">
        <v>-175</v>
      </c>
      <c r="E50" s="472">
        <v>217</v>
      </c>
      <c r="F50" s="472">
        <v>217</v>
      </c>
      <c r="G50" s="472">
        <v>-394</v>
      </c>
      <c r="H50" s="472">
        <v>-394</v>
      </c>
      <c r="I50" s="472">
        <v>221</v>
      </c>
      <c r="J50" s="472">
        <v>221</v>
      </c>
      <c r="K50" s="472">
        <v>-131</v>
      </c>
      <c r="L50" s="472">
        <v>-131</v>
      </c>
      <c r="M50" s="472">
        <v>-2072</v>
      </c>
      <c r="N50" s="472">
        <v>-2072</v>
      </c>
      <c r="O50" s="472">
        <v>-466</v>
      </c>
      <c r="P50" s="472">
        <v>-466</v>
      </c>
      <c r="Q50" s="472">
        <v>267</v>
      </c>
      <c r="R50" s="472">
        <v>267</v>
      </c>
      <c r="S50" s="472">
        <v>-103</v>
      </c>
      <c r="T50" s="472">
        <v>-103</v>
      </c>
      <c r="U50" s="472">
        <v>-2374</v>
      </c>
      <c r="V50" s="472">
        <v>-2374</v>
      </c>
      <c r="W50" s="472">
        <v>1142</v>
      </c>
      <c r="X50" s="472">
        <v>1142</v>
      </c>
      <c r="Y50" s="472">
        <v>963</v>
      </c>
      <c r="Z50" s="472">
        <v>963</v>
      </c>
      <c r="AA50" s="472">
        <v>890</v>
      </c>
      <c r="AB50" s="472">
        <v>890</v>
      </c>
      <c r="AC50" s="472">
        <v>1251</v>
      </c>
      <c r="AD50" s="472">
        <v>1251</v>
      </c>
      <c r="AE50" s="472">
        <v>4246</v>
      </c>
      <c r="AF50" s="472">
        <v>4246</v>
      </c>
      <c r="AG50" s="472">
        <v>2174</v>
      </c>
      <c r="AH50" s="472">
        <v>2174</v>
      </c>
      <c r="AI50" s="472">
        <v>1321</v>
      </c>
      <c r="AJ50" s="472">
        <v>1321</v>
      </c>
      <c r="AK50" s="472">
        <v>-553</v>
      </c>
      <c r="AL50" s="472">
        <v>-553</v>
      </c>
      <c r="AM50" s="472">
        <v>-1845</v>
      </c>
      <c r="AN50" s="472">
        <v>-1845</v>
      </c>
      <c r="AO50" s="472">
        <v>1097</v>
      </c>
      <c r="AP50" s="472">
        <v>1097</v>
      </c>
      <c r="AQ50" s="472">
        <v>-1171</v>
      </c>
      <c r="AR50" s="472">
        <v>-1171</v>
      </c>
      <c r="AS50" s="472">
        <v>-384</v>
      </c>
      <c r="AT50" s="472">
        <v>-384</v>
      </c>
      <c r="AU50" s="472">
        <v>1283</v>
      </c>
      <c r="AV50" s="472">
        <v>1283</v>
      </c>
      <c r="AW50" s="472">
        <v>-627</v>
      </c>
      <c r="AX50" s="472">
        <v>-627</v>
      </c>
      <c r="AY50" s="472">
        <v>-899</v>
      </c>
      <c r="AZ50" s="472">
        <v>-899</v>
      </c>
      <c r="BA50" s="472">
        <v>64</v>
      </c>
      <c r="BB50" s="472">
        <v>64</v>
      </c>
      <c r="BC50" s="472">
        <v>33</v>
      </c>
      <c r="BD50" s="472">
        <v>33</v>
      </c>
      <c r="BE50" s="472">
        <v>-324</v>
      </c>
      <c r="BF50" s="472">
        <v>-324</v>
      </c>
      <c r="BG50" s="472">
        <v>-44</v>
      </c>
      <c r="BH50" s="472">
        <v>-44</v>
      </c>
      <c r="BI50" s="472">
        <v>-271</v>
      </c>
      <c r="BJ50" s="472">
        <v>-271</v>
      </c>
      <c r="BK50" s="577"/>
    </row>
    <row r="51" spans="2:63" hidden="1" outlineLevel="1">
      <c r="B51" s="419"/>
      <c r="C51" s="418"/>
      <c r="D51" s="418"/>
      <c r="E51" s="418"/>
      <c r="F51" s="418"/>
      <c r="G51" s="418"/>
      <c r="H51" s="418"/>
      <c r="I51" s="418"/>
      <c r="J51" s="418"/>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8"/>
      <c r="AT51" s="418"/>
      <c r="AU51" s="418"/>
      <c r="AV51" s="418"/>
      <c r="AW51" s="418"/>
      <c r="AX51" s="418"/>
      <c r="AY51" s="418"/>
      <c r="AZ51" s="418"/>
      <c r="BA51" s="418"/>
      <c r="BB51" s="418"/>
      <c r="BC51" s="418"/>
      <c r="BD51" s="418"/>
      <c r="BE51" s="418"/>
      <c r="BF51" s="418"/>
      <c r="BG51" s="418"/>
      <c r="BH51" s="418"/>
      <c r="BI51" s="418"/>
      <c r="BJ51" s="418"/>
    </row>
    <row r="52" spans="2:63" hidden="1" outlineLevel="1">
      <c r="B52" s="417" t="str">
        <f>names!$A383</f>
        <v>Odpisy</v>
      </c>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17"/>
      <c r="AZ52" s="417"/>
      <c r="BA52" s="417"/>
      <c r="BB52" s="417"/>
      <c r="BC52" s="417"/>
      <c r="BD52" s="417"/>
      <c r="BE52" s="417"/>
      <c r="BF52" s="417"/>
      <c r="BG52" s="417"/>
      <c r="BH52" s="417"/>
      <c r="BI52" s="417"/>
      <c r="BJ52" s="417"/>
    </row>
    <row r="53" spans="2:63" hidden="1" outlineLevel="1">
      <c r="B53" s="421" t="str">
        <f>names!$A384</f>
        <v>Rafineria</v>
      </c>
      <c r="C53" s="419"/>
      <c r="D53" s="419">
        <v>0</v>
      </c>
      <c r="E53" s="419"/>
      <c r="F53" s="419">
        <v>-1</v>
      </c>
      <c r="G53" s="419"/>
      <c r="H53" s="419">
        <v>0</v>
      </c>
      <c r="I53" s="419"/>
      <c r="J53" s="419">
        <v>-1</v>
      </c>
      <c r="K53" s="419"/>
      <c r="L53" s="419">
        <v>-2</v>
      </c>
      <c r="M53" s="419"/>
      <c r="N53" s="419">
        <v>-4</v>
      </c>
      <c r="O53" s="419"/>
      <c r="P53" s="419">
        <v>-4</v>
      </c>
      <c r="Q53" s="419"/>
      <c r="R53" s="419">
        <v>2</v>
      </c>
      <c r="S53" s="419"/>
      <c r="T53" s="419">
        <v>-105</v>
      </c>
      <c r="U53" s="419"/>
      <c r="V53" s="419">
        <v>-111</v>
      </c>
      <c r="W53" s="419"/>
      <c r="X53" s="419">
        <v>-2</v>
      </c>
      <c r="Y53" s="419"/>
      <c r="Z53" s="419">
        <v>-19</v>
      </c>
      <c r="AA53" s="419"/>
      <c r="AB53" s="419">
        <v>-3</v>
      </c>
      <c r="AC53" s="419"/>
      <c r="AD53" s="419">
        <v>14</v>
      </c>
      <c r="AE53" s="419"/>
      <c r="AF53" s="419">
        <v>-10</v>
      </c>
      <c r="AG53" s="419"/>
      <c r="AH53" s="419">
        <v>-25</v>
      </c>
      <c r="AI53" s="419"/>
      <c r="AJ53" s="419">
        <v>-2811</v>
      </c>
      <c r="AK53" s="419"/>
      <c r="AL53" s="419">
        <v>-3</v>
      </c>
      <c r="AM53" s="419"/>
      <c r="AN53" s="419">
        <v>-2817</v>
      </c>
      <c r="AO53" s="419"/>
      <c r="AP53" s="419">
        <v>-5656</v>
      </c>
      <c r="AQ53" s="419"/>
      <c r="AR53" s="419">
        <v>0</v>
      </c>
      <c r="AS53" s="419"/>
      <c r="AT53" s="419">
        <v>-17</v>
      </c>
      <c r="AU53" s="419"/>
      <c r="AV53" s="419">
        <v>0</v>
      </c>
      <c r="AW53" s="419"/>
      <c r="AX53" s="419">
        <v>-152</v>
      </c>
      <c r="AY53" s="419"/>
      <c r="AZ53" s="419">
        <v>-169</v>
      </c>
      <c r="BA53" s="419"/>
      <c r="BB53" s="419">
        <v>-2</v>
      </c>
      <c r="BC53" s="419"/>
      <c r="BD53" s="419">
        <v>-5</v>
      </c>
      <c r="BE53" s="419"/>
      <c r="BF53" s="419">
        <v>-2351</v>
      </c>
      <c r="BG53" s="419"/>
      <c r="BH53" s="419">
        <v>-93</v>
      </c>
      <c r="BI53" s="419"/>
      <c r="BJ53" s="419">
        <v>-1647</v>
      </c>
    </row>
    <row r="54" spans="2:63" hidden="1" outlineLevel="1">
      <c r="B54" s="421" t="str">
        <f>names!$A385</f>
        <v>Petrochemia</v>
      </c>
      <c r="C54" s="419"/>
      <c r="D54" s="419">
        <v>-7</v>
      </c>
      <c r="E54" s="419"/>
      <c r="F54" s="419">
        <v>-5</v>
      </c>
      <c r="G54" s="419"/>
      <c r="H54" s="419">
        <v>-9</v>
      </c>
      <c r="I54" s="419"/>
      <c r="J54" s="419">
        <v>-28</v>
      </c>
      <c r="K54" s="419"/>
      <c r="L54" s="419">
        <v>-49</v>
      </c>
      <c r="M54" s="419"/>
      <c r="N54" s="419">
        <v>0</v>
      </c>
      <c r="O54" s="419"/>
      <c r="P54" s="419">
        <v>0</v>
      </c>
      <c r="Q54" s="419"/>
      <c r="R54" s="419">
        <v>-1</v>
      </c>
      <c r="S54" s="419"/>
      <c r="T54" s="419">
        <v>-9</v>
      </c>
      <c r="U54" s="419"/>
      <c r="V54" s="419">
        <v>-10</v>
      </c>
      <c r="W54" s="419"/>
      <c r="X54" s="419">
        <v>0</v>
      </c>
      <c r="Y54" s="419"/>
      <c r="Z54" s="419">
        <v>0</v>
      </c>
      <c r="AA54" s="419"/>
      <c r="AB54" s="419">
        <v>0</v>
      </c>
      <c r="AC54" s="419"/>
      <c r="AD54" s="419">
        <v>30</v>
      </c>
      <c r="AE54" s="419"/>
      <c r="AF54" s="419">
        <v>30</v>
      </c>
      <c r="AG54" s="419"/>
      <c r="AH54" s="419">
        <v>0</v>
      </c>
      <c r="AI54" s="419"/>
      <c r="AJ54" s="419">
        <v>0</v>
      </c>
      <c r="AK54" s="419"/>
      <c r="AL54" s="419">
        <v>0</v>
      </c>
      <c r="AM54" s="419"/>
      <c r="AN54" s="419">
        <v>-91</v>
      </c>
      <c r="AO54" s="419"/>
      <c r="AP54" s="419">
        <v>-91</v>
      </c>
      <c r="AQ54" s="419"/>
      <c r="AR54" s="419">
        <v>0</v>
      </c>
      <c r="AS54" s="419"/>
      <c r="AT54" s="419">
        <v>-3</v>
      </c>
      <c r="AU54" s="419"/>
      <c r="AV54" s="419">
        <v>0</v>
      </c>
      <c r="AW54" s="419"/>
      <c r="AX54" s="419">
        <v>-10123</v>
      </c>
      <c r="AY54" s="419"/>
      <c r="AZ54" s="419">
        <v>-10126</v>
      </c>
      <c r="BA54" s="419"/>
      <c r="BB54" s="419">
        <v>-666</v>
      </c>
      <c r="BC54" s="419"/>
      <c r="BD54" s="419">
        <v>-460</v>
      </c>
      <c r="BE54" s="419"/>
      <c r="BF54" s="419">
        <v>-922</v>
      </c>
      <c r="BG54" s="419"/>
      <c r="BH54" s="419">
        <v>4</v>
      </c>
      <c r="BI54" s="419"/>
      <c r="BJ54" s="419">
        <v>-10917</v>
      </c>
    </row>
    <row r="55" spans="2:63" hidden="1" outlineLevel="1">
      <c r="B55" s="421" t="str">
        <f>names!$A386</f>
        <v>Energetyka</v>
      </c>
      <c r="C55" s="419"/>
      <c r="D55" s="419">
        <v>-4</v>
      </c>
      <c r="E55" s="419"/>
      <c r="F55" s="419">
        <v>0</v>
      </c>
      <c r="G55" s="419"/>
      <c r="H55" s="419">
        <v>0</v>
      </c>
      <c r="I55" s="419"/>
      <c r="J55" s="419">
        <v>-2</v>
      </c>
      <c r="K55" s="419"/>
      <c r="L55" s="419">
        <v>-6</v>
      </c>
      <c r="M55" s="419"/>
      <c r="N55" s="419">
        <v>0</v>
      </c>
      <c r="O55" s="419"/>
      <c r="P55" s="419">
        <v>-2</v>
      </c>
      <c r="Q55" s="419"/>
      <c r="R55" s="419">
        <v>-1</v>
      </c>
      <c r="S55" s="419"/>
      <c r="T55" s="419">
        <v>-2</v>
      </c>
      <c r="U55" s="419"/>
      <c r="V55" s="419">
        <v>-5</v>
      </c>
      <c r="W55" s="419"/>
      <c r="X55" s="419">
        <v>0</v>
      </c>
      <c r="Y55" s="419"/>
      <c r="Z55" s="419">
        <v>-62</v>
      </c>
      <c r="AA55" s="419"/>
      <c r="AB55" s="419">
        <v>2</v>
      </c>
      <c r="AC55" s="419"/>
      <c r="AD55" s="419">
        <v>-17</v>
      </c>
      <c r="AE55" s="419"/>
      <c r="AF55" s="419">
        <v>-77</v>
      </c>
      <c r="AG55" s="419"/>
      <c r="AH55" s="419">
        <v>0</v>
      </c>
      <c r="AI55" s="419"/>
      <c r="AJ55" s="419">
        <v>-15</v>
      </c>
      <c r="AK55" s="419"/>
      <c r="AL55" s="419">
        <v>-7</v>
      </c>
      <c r="AM55" s="419"/>
      <c r="AN55" s="419">
        <v>-26</v>
      </c>
      <c r="AO55" s="419"/>
      <c r="AP55" s="419">
        <v>-48</v>
      </c>
      <c r="AQ55" s="419"/>
      <c r="AR55" s="419">
        <v>-1</v>
      </c>
      <c r="AS55" s="419"/>
      <c r="AT55" s="419">
        <v>-3</v>
      </c>
      <c r="AU55" s="419"/>
      <c r="AV55" s="419">
        <v>-4</v>
      </c>
      <c r="AW55" s="419"/>
      <c r="AX55" s="419">
        <v>-14</v>
      </c>
      <c r="AY55" s="419"/>
      <c r="AZ55" s="419">
        <v>-22</v>
      </c>
      <c r="BA55" s="419"/>
      <c r="BB55" s="419">
        <v>-5</v>
      </c>
      <c r="BC55" s="419"/>
      <c r="BD55" s="419">
        <v>-4</v>
      </c>
      <c r="BE55" s="419"/>
      <c r="BF55" s="419">
        <v>-35</v>
      </c>
      <c r="BG55" s="419"/>
      <c r="BH55" s="419">
        <v>-35</v>
      </c>
      <c r="BI55" s="419"/>
      <c r="BJ55" s="419">
        <v>-449</v>
      </c>
    </row>
    <row r="56" spans="2:63" hidden="1" outlineLevel="1">
      <c r="B56" s="421" t="str">
        <f>names!$A387</f>
        <v>Detal</v>
      </c>
      <c r="C56" s="419"/>
      <c r="D56" s="419">
        <v>2</v>
      </c>
      <c r="E56" s="419"/>
      <c r="F56" s="419">
        <v>-4</v>
      </c>
      <c r="G56" s="419"/>
      <c r="H56" s="419">
        <v>-1</v>
      </c>
      <c r="I56" s="419"/>
      <c r="J56" s="419">
        <v>19</v>
      </c>
      <c r="K56" s="419"/>
      <c r="L56" s="419">
        <v>16</v>
      </c>
      <c r="M56" s="419"/>
      <c r="N56" s="419">
        <v>-4</v>
      </c>
      <c r="O56" s="419"/>
      <c r="P56" s="419">
        <v>-7</v>
      </c>
      <c r="Q56" s="419"/>
      <c r="R56" s="419">
        <v>-2</v>
      </c>
      <c r="S56" s="419"/>
      <c r="T56" s="419">
        <v>-26</v>
      </c>
      <c r="U56" s="419"/>
      <c r="V56" s="419">
        <v>-39</v>
      </c>
      <c r="W56" s="419"/>
      <c r="X56" s="419">
        <v>-2</v>
      </c>
      <c r="Y56" s="419"/>
      <c r="Z56" s="419">
        <v>-4</v>
      </c>
      <c r="AA56" s="419"/>
      <c r="AB56" s="419">
        <v>-2</v>
      </c>
      <c r="AC56" s="419"/>
      <c r="AD56" s="419">
        <v>-39</v>
      </c>
      <c r="AE56" s="419"/>
      <c r="AF56" s="419">
        <v>-47</v>
      </c>
      <c r="AG56" s="419"/>
      <c r="AH56" s="419">
        <v>-2</v>
      </c>
      <c r="AI56" s="419"/>
      <c r="AJ56" s="419">
        <v>-2</v>
      </c>
      <c r="AK56" s="419"/>
      <c r="AL56" s="419">
        <v>-1</v>
      </c>
      <c r="AM56" s="419"/>
      <c r="AN56" s="419">
        <v>-9</v>
      </c>
      <c r="AO56" s="419"/>
      <c r="AP56" s="419">
        <v>-14</v>
      </c>
      <c r="AQ56" s="419"/>
      <c r="AR56" s="419">
        <v>-3</v>
      </c>
      <c r="AS56" s="419"/>
      <c r="AT56" s="419">
        <v>-1</v>
      </c>
      <c r="AU56" s="419"/>
      <c r="AV56" s="419">
        <v>-2</v>
      </c>
      <c r="AW56" s="419"/>
      <c r="AX56" s="419">
        <v>-1</v>
      </c>
      <c r="AY56" s="419"/>
      <c r="AZ56" s="419">
        <v>-7</v>
      </c>
      <c r="BA56" s="419"/>
      <c r="BB56" s="419">
        <v>0</v>
      </c>
      <c r="BC56" s="419"/>
      <c r="BD56" s="419">
        <v>0</v>
      </c>
      <c r="BE56" s="419"/>
      <c r="BF56" s="419">
        <v>-3</v>
      </c>
      <c r="BG56" s="419"/>
      <c r="BH56" s="419">
        <v>-106</v>
      </c>
      <c r="BI56" s="419"/>
      <c r="BJ56" s="419">
        <v>-205</v>
      </c>
    </row>
    <row r="57" spans="2:63" hidden="1" outlineLevel="1">
      <c r="B57" s="421" t="str">
        <f>names!$A388</f>
        <v>Wydobycie</v>
      </c>
      <c r="C57" s="419"/>
      <c r="D57" s="419">
        <v>-1</v>
      </c>
      <c r="E57" s="419"/>
      <c r="F57" s="419">
        <v>-1</v>
      </c>
      <c r="G57" s="419"/>
      <c r="H57" s="419">
        <v>-62</v>
      </c>
      <c r="I57" s="419"/>
      <c r="J57" s="419">
        <v>-67</v>
      </c>
      <c r="K57" s="419"/>
      <c r="L57" s="419">
        <v>-131</v>
      </c>
      <c r="M57" s="419"/>
      <c r="N57" s="419">
        <v>-496</v>
      </c>
      <c r="O57" s="419"/>
      <c r="P57" s="419">
        <v>-133</v>
      </c>
      <c r="Q57" s="419"/>
      <c r="R57" s="419">
        <v>10</v>
      </c>
      <c r="S57" s="419"/>
      <c r="T57" s="419">
        <v>-803</v>
      </c>
      <c r="U57" s="419"/>
      <c r="V57" s="419">
        <v>-1422</v>
      </c>
      <c r="W57" s="419"/>
      <c r="X57" s="419">
        <v>0</v>
      </c>
      <c r="Y57" s="419"/>
      <c r="Z57" s="419">
        <v>0</v>
      </c>
      <c r="AA57" s="419"/>
      <c r="AB57" s="419">
        <v>0</v>
      </c>
      <c r="AC57" s="419"/>
      <c r="AD57" s="419">
        <v>918</v>
      </c>
      <c r="AE57" s="419"/>
      <c r="AF57" s="419">
        <v>918</v>
      </c>
      <c r="AG57" s="419"/>
      <c r="AH57" s="419">
        <v>0</v>
      </c>
      <c r="AI57" s="419"/>
      <c r="AJ57" s="419">
        <v>-32</v>
      </c>
      <c r="AK57" s="419"/>
      <c r="AL57" s="419">
        <v>-40</v>
      </c>
      <c r="AM57" s="419"/>
      <c r="AN57" s="419">
        <v>-110</v>
      </c>
      <c r="AO57" s="419"/>
      <c r="AP57" s="419">
        <v>-182</v>
      </c>
      <c r="AQ57" s="419"/>
      <c r="AR57" s="419">
        <v>-2229</v>
      </c>
      <c r="AS57" s="419"/>
      <c r="AT57" s="419">
        <v>-41</v>
      </c>
      <c r="AU57" s="419"/>
      <c r="AV57" s="419">
        <v>-14</v>
      </c>
      <c r="AW57" s="419"/>
      <c r="AX57" s="419">
        <v>-3576</v>
      </c>
      <c r="AY57" s="419"/>
      <c r="AZ57" s="419">
        <v>-5860</v>
      </c>
      <c r="BA57" s="419"/>
      <c r="BB57" s="419">
        <v>-43</v>
      </c>
      <c r="BC57" s="419"/>
      <c r="BD57" s="419">
        <v>-19</v>
      </c>
      <c r="BE57" s="419"/>
      <c r="BF57" s="419">
        <v>-181</v>
      </c>
      <c r="BG57" s="419"/>
      <c r="BH57" s="419">
        <v>-811</v>
      </c>
      <c r="BI57" s="419"/>
      <c r="BJ57" s="419">
        <v>-139</v>
      </c>
    </row>
    <row r="58" spans="2:63" hidden="1" outlineLevel="1">
      <c r="B58" s="421" t="str">
        <f>names!$A389</f>
        <v>Gaz</v>
      </c>
      <c r="C58" s="419"/>
      <c r="D58" s="581" t="s">
        <v>249</v>
      </c>
      <c r="E58" s="419"/>
      <c r="F58" s="581" t="s">
        <v>249</v>
      </c>
      <c r="G58" s="419"/>
      <c r="H58" s="581" t="s">
        <v>249</v>
      </c>
      <c r="I58" s="419"/>
      <c r="J58" s="581" t="s">
        <v>249</v>
      </c>
      <c r="K58" s="419"/>
      <c r="L58" s="581" t="s">
        <v>249</v>
      </c>
      <c r="M58" s="419"/>
      <c r="N58" s="581" t="s">
        <v>249</v>
      </c>
      <c r="O58" s="419"/>
      <c r="P58" s="581" t="s">
        <v>249</v>
      </c>
      <c r="Q58" s="419"/>
      <c r="R58" s="581" t="s">
        <v>249</v>
      </c>
      <c r="S58" s="419"/>
      <c r="T58" s="581" t="s">
        <v>249</v>
      </c>
      <c r="U58" s="419"/>
      <c r="V58" s="581" t="s">
        <v>249</v>
      </c>
      <c r="W58" s="419"/>
      <c r="X58" s="581" t="s">
        <v>249</v>
      </c>
      <c r="Y58" s="419"/>
      <c r="Z58" s="581" t="s">
        <v>249</v>
      </c>
      <c r="AA58" s="419"/>
      <c r="AB58" s="581" t="s">
        <v>249</v>
      </c>
      <c r="AC58" s="419"/>
      <c r="AD58" s="581" t="s">
        <v>249</v>
      </c>
      <c r="AE58" s="419"/>
      <c r="AF58" s="581" t="s">
        <v>249</v>
      </c>
      <c r="AG58" s="419"/>
      <c r="AH58" s="581" t="s">
        <v>249</v>
      </c>
      <c r="AI58" s="419"/>
      <c r="AJ58" s="581" t="s">
        <v>249</v>
      </c>
      <c r="AK58" s="419"/>
      <c r="AL58" s="581" t="s">
        <v>249</v>
      </c>
      <c r="AM58" s="419"/>
      <c r="AN58" s="419">
        <v>-44</v>
      </c>
      <c r="AO58" s="419"/>
      <c r="AP58" s="419">
        <v>-44</v>
      </c>
      <c r="AQ58" s="419"/>
      <c r="AR58" s="581" t="s">
        <v>249</v>
      </c>
      <c r="AS58" s="419"/>
      <c r="AT58" s="419">
        <v>-12</v>
      </c>
      <c r="AU58" s="419"/>
      <c r="AV58" s="419">
        <v>-1002</v>
      </c>
      <c r="AW58" s="419"/>
      <c r="AX58" s="419">
        <v>-1</v>
      </c>
      <c r="AY58" s="419"/>
      <c r="AZ58" s="419">
        <v>-19</v>
      </c>
      <c r="BA58" s="419"/>
      <c r="BB58" s="419">
        <v>-2</v>
      </c>
      <c r="BC58" s="419"/>
      <c r="BD58" s="419">
        <v>-32</v>
      </c>
      <c r="BE58" s="419"/>
      <c r="BF58" s="419">
        <v>0</v>
      </c>
      <c r="BG58" s="419"/>
      <c r="BH58" s="419">
        <v>-77</v>
      </c>
      <c r="BI58" s="419"/>
      <c r="BJ58" s="419">
        <v>-111</v>
      </c>
    </row>
    <row r="59" spans="2:63" hidden="1" outlineLevel="1">
      <c r="B59" s="421" t="str">
        <f>names!$A390</f>
        <v>Corporate functions</v>
      </c>
      <c r="C59" s="419"/>
      <c r="D59" s="419">
        <v>0</v>
      </c>
      <c r="E59" s="419"/>
      <c r="F59" s="419">
        <v>-6</v>
      </c>
      <c r="G59" s="419"/>
      <c r="H59" s="419">
        <v>-1</v>
      </c>
      <c r="I59" s="419"/>
      <c r="J59" s="419">
        <v>0</v>
      </c>
      <c r="K59" s="419"/>
      <c r="L59" s="419">
        <v>-7</v>
      </c>
      <c r="M59" s="419"/>
      <c r="N59" s="419">
        <v>0</v>
      </c>
      <c r="O59" s="419"/>
      <c r="P59" s="419">
        <v>0</v>
      </c>
      <c r="Q59" s="419"/>
      <c r="R59" s="419">
        <v>0</v>
      </c>
      <c r="S59" s="419"/>
      <c r="T59" s="419">
        <v>-4</v>
      </c>
      <c r="U59" s="419"/>
      <c r="V59" s="419">
        <v>-4</v>
      </c>
      <c r="W59" s="419"/>
      <c r="X59" s="419">
        <v>0</v>
      </c>
      <c r="Y59" s="419"/>
      <c r="Z59" s="419">
        <v>0</v>
      </c>
      <c r="AA59" s="419"/>
      <c r="AB59" s="419">
        <v>0</v>
      </c>
      <c r="AC59" s="419"/>
      <c r="AD59" s="419">
        <v>-3</v>
      </c>
      <c r="AE59" s="419"/>
      <c r="AF59" s="419">
        <v>-3</v>
      </c>
      <c r="AG59" s="419"/>
      <c r="AH59" s="419">
        <v>0</v>
      </c>
      <c r="AI59" s="419"/>
      <c r="AJ59" s="419">
        <v>0</v>
      </c>
      <c r="AK59" s="419"/>
      <c r="AL59" s="419">
        <v>-2</v>
      </c>
      <c r="AM59" s="419"/>
      <c r="AN59" s="419">
        <v>-7</v>
      </c>
      <c r="AO59" s="419"/>
      <c r="AP59" s="419">
        <v>-9</v>
      </c>
      <c r="AQ59" s="419"/>
      <c r="AR59" s="419">
        <v>0</v>
      </c>
      <c r="AS59" s="419"/>
      <c r="AT59" s="419">
        <v>0</v>
      </c>
      <c r="AU59" s="419"/>
      <c r="AV59" s="419">
        <v>0</v>
      </c>
      <c r="AW59" s="419"/>
      <c r="AX59" s="419">
        <v>-10</v>
      </c>
      <c r="AY59" s="419"/>
      <c r="AZ59" s="419">
        <v>-10</v>
      </c>
      <c r="BA59" s="419"/>
      <c r="BB59" s="419">
        <v>0</v>
      </c>
      <c r="BC59" s="419"/>
      <c r="BD59" s="419">
        <v>-1</v>
      </c>
      <c r="BE59" s="419"/>
      <c r="BF59" s="419">
        <v>-32</v>
      </c>
      <c r="BG59" s="419"/>
      <c r="BH59" s="419">
        <v>-11</v>
      </c>
      <c r="BI59" s="419"/>
      <c r="BJ59" s="419">
        <v>-47</v>
      </c>
    </row>
    <row r="60" spans="2:63" s="471" customFormat="1" hidden="1" outlineLevel="1">
      <c r="B60" s="417" t="str">
        <f>names!$A391</f>
        <v>RAZEM</v>
      </c>
      <c r="C60" s="417"/>
      <c r="D60" s="417">
        <v>-10</v>
      </c>
      <c r="E60" s="417"/>
      <c r="F60" s="417">
        <v>-17</v>
      </c>
      <c r="G60" s="417"/>
      <c r="H60" s="417">
        <v>-73</v>
      </c>
      <c r="I60" s="417"/>
      <c r="J60" s="417">
        <v>-79</v>
      </c>
      <c r="K60" s="417"/>
      <c r="L60" s="417">
        <v>-179</v>
      </c>
      <c r="M60" s="417"/>
      <c r="N60" s="417">
        <v>-504</v>
      </c>
      <c r="O60" s="417"/>
      <c r="P60" s="417">
        <v>-146</v>
      </c>
      <c r="Q60" s="417"/>
      <c r="R60" s="417">
        <v>8</v>
      </c>
      <c r="S60" s="417"/>
      <c r="T60" s="417">
        <v>-949</v>
      </c>
      <c r="U60" s="417"/>
      <c r="V60" s="417">
        <v>-1591</v>
      </c>
      <c r="W60" s="417"/>
      <c r="X60" s="417">
        <v>-4</v>
      </c>
      <c r="Y60" s="417"/>
      <c r="Z60" s="417">
        <v>-85</v>
      </c>
      <c r="AA60" s="417"/>
      <c r="AB60" s="417">
        <v>-3</v>
      </c>
      <c r="AC60" s="417"/>
      <c r="AD60" s="417">
        <v>903</v>
      </c>
      <c r="AE60" s="417"/>
      <c r="AF60" s="417">
        <v>811</v>
      </c>
      <c r="AG60" s="417"/>
      <c r="AH60" s="417">
        <v>-27</v>
      </c>
      <c r="AI60" s="417"/>
      <c r="AJ60" s="417">
        <v>-2860</v>
      </c>
      <c r="AK60" s="417"/>
      <c r="AL60" s="417">
        <v>-53</v>
      </c>
      <c r="AM60" s="417"/>
      <c r="AN60" s="417">
        <v>-3104</v>
      </c>
      <c r="AO60" s="417"/>
      <c r="AP60" s="417">
        <v>-6044</v>
      </c>
      <c r="AQ60" s="417"/>
      <c r="AR60" s="417">
        <v>-2233</v>
      </c>
      <c r="AS60" s="417"/>
      <c r="AT60" s="417">
        <v>-77</v>
      </c>
      <c r="AU60" s="417"/>
      <c r="AV60" s="417">
        <v>-1022</v>
      </c>
      <c r="AW60" s="417"/>
      <c r="AX60" s="417">
        <v>-13877</v>
      </c>
      <c r="AY60" s="417"/>
      <c r="AZ60" s="417">
        <v>-16213</v>
      </c>
      <c r="BA60" s="417"/>
      <c r="BB60" s="417">
        <v>-718</v>
      </c>
      <c r="BC60" s="417"/>
      <c r="BD60" s="417">
        <v>-521</v>
      </c>
      <c r="BE60" s="417"/>
      <c r="BF60" s="417">
        <v>-3524</v>
      </c>
      <c r="BG60" s="417"/>
      <c r="BH60" s="417">
        <v>-1129</v>
      </c>
      <c r="BI60" s="417"/>
      <c r="BJ60" s="417">
        <v>-13515</v>
      </c>
      <c r="BK60" s="577"/>
    </row>
    <row r="61" spans="2:63" collapsed="1">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R61" s="423"/>
      <c r="AS61" s="423"/>
      <c r="AT61" s="423"/>
      <c r="AU61" s="423"/>
      <c r="AV61" s="423"/>
      <c r="AW61" s="423"/>
      <c r="AX61" s="423"/>
      <c r="AY61" s="423"/>
      <c r="AZ61" s="423"/>
      <c r="BA61" s="423"/>
      <c r="BB61" s="423"/>
      <c r="BC61" s="423"/>
      <c r="BD61" s="423"/>
      <c r="BE61" s="423"/>
      <c r="BF61" s="423"/>
      <c r="BG61" s="423"/>
      <c r="BH61" s="423"/>
      <c r="BI61" s="423"/>
      <c r="BJ61" s="423"/>
    </row>
    <row r="62" spans="2:63">
      <c r="D62" s="419"/>
      <c r="N62" s="419"/>
      <c r="X62" s="419"/>
      <c r="AH62" s="419"/>
      <c r="AR62" s="419"/>
      <c r="BB62" s="419"/>
    </row>
    <row r="63" spans="2:63">
      <c r="C63" s="419"/>
      <c r="D63" s="419"/>
      <c r="E63" s="771"/>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19"/>
      <c r="AO63" s="419"/>
      <c r="AP63" s="419"/>
      <c r="AQ63" s="419"/>
      <c r="AR63" s="419"/>
      <c r="AS63" s="419"/>
      <c r="AT63" s="419"/>
      <c r="AU63" s="419"/>
      <c r="AV63" s="419"/>
      <c r="AW63" s="419"/>
      <c r="AX63" s="419"/>
      <c r="AY63" s="419"/>
      <c r="AZ63" s="419"/>
      <c r="BA63" s="419"/>
      <c r="BB63" s="419"/>
      <c r="BC63" s="419"/>
      <c r="BD63" s="419"/>
      <c r="BE63" s="419"/>
      <c r="BF63" s="419"/>
      <c r="BG63" s="419"/>
      <c r="BH63" s="419"/>
      <c r="BI63" s="419"/>
      <c r="BJ63" s="419"/>
    </row>
    <row r="64" spans="2:63" s="577" customFormat="1"/>
    <row r="65" spans="2:6" s="577" customFormat="1"/>
    <row r="66" spans="2:6" s="577" customFormat="1"/>
    <row r="67" spans="2:6" ht="12.75">
      <c r="B67" s="768"/>
    </row>
    <row r="68" spans="2:6">
      <c r="F68" s="771"/>
    </row>
    <row r="69" spans="2:6">
      <c r="F69" s="771"/>
    </row>
  </sheetData>
  <conditionalFormatting sqref="A64:XFD66">
    <cfRule type="cellIs" dxfId="60" priority="1" operator="equal">
      <formula>FALSE</formula>
    </cfRule>
  </conditionalFormatting>
  <conditionalFormatting sqref="BK1:BK63">
    <cfRule type="cellIs" dxfId="59" priority="3" operator="equal">
      <formula>FALSE</formula>
    </cfRule>
  </conditionalFormatting>
  <conditionalFormatting sqref="BK67:BK1048576">
    <cfRule type="cellIs" dxfId="58" priority="6" operator="equal">
      <formula>FALSE</formula>
    </cfRule>
  </conditionalFormatting>
  <printOptions horizontalCentered="1"/>
  <pageMargins left="0.70866141732283472" right="0.70866141732283472" top="0.74803149606299213" bottom="0.74803149606299213"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2:O64"/>
  <sheetViews>
    <sheetView showGridLines="0" tabSelected="1" view="pageBreakPreview" zoomScaleNormal="100" zoomScaleSheetLayoutView="100" workbookViewId="0"/>
  </sheetViews>
  <sheetFormatPr defaultRowHeight="12.75"/>
  <cols>
    <col min="1" max="1" width="6.42578125" customWidth="1"/>
    <col min="2" max="2" width="46.28515625" customWidth="1"/>
    <col min="13" max="13" width="1" customWidth="1"/>
    <col min="15" max="15" width="9.28515625" style="721"/>
  </cols>
  <sheetData>
    <row r="2" spans="1:2" ht="26.25">
      <c r="A2" s="492" t="str">
        <f>names!A2</f>
        <v>Dane finansowo-operacyjne według segmentów działalności</v>
      </c>
    </row>
    <row r="4" spans="1:2" ht="26.25">
      <c r="A4" s="492" t="str">
        <f>names!A4</f>
        <v>Spis treści</v>
      </c>
      <c r="B4" s="493"/>
    </row>
    <row r="5" spans="1:2">
      <c r="A5" s="494"/>
      <c r="B5" s="493"/>
    </row>
    <row r="6" spans="1:2" ht="20.25">
      <c r="A6" s="562" t="str">
        <f>names!A6</f>
        <v>Otoczenie makro</v>
      </c>
    </row>
    <row r="7" spans="1:2" ht="15.75">
      <c r="A7" s="493"/>
      <c r="B7" s="561" t="str">
        <f>names!A7</f>
        <v>Parametry makroekonomiczne</v>
      </c>
    </row>
    <row r="8" spans="1:2" ht="15.75">
      <c r="A8" s="493"/>
      <c r="B8" s="561" t="str">
        <f>names!A10</f>
        <v>Konsumpcja</v>
      </c>
    </row>
    <row r="9" spans="1:2">
      <c r="A9" s="493"/>
      <c r="B9" s="493"/>
    </row>
    <row r="10" spans="1:2" ht="20.25">
      <c r="A10" s="562" t="str">
        <f>names!A12</f>
        <v>Wybrane dane finansowe</v>
      </c>
    </row>
    <row r="11" spans="1:2" ht="15.75">
      <c r="A11" s="493"/>
      <c r="B11" s="561" t="str">
        <f>names!A13</f>
        <v>Kluczowe dane finansowe</v>
      </c>
    </row>
    <row r="12" spans="1:2" ht="15.75">
      <c r="A12" s="493"/>
      <c r="B12" s="561" t="str">
        <f>names!A14</f>
        <v>EBITDA, EBIT, Amortyzacja</v>
      </c>
    </row>
    <row r="13" spans="1:2" ht="15.75">
      <c r="A13" s="493"/>
      <c r="B13" s="561" t="str">
        <f>names!A2104</f>
        <v>Upstream&amp;Supply</v>
      </c>
    </row>
    <row r="14" spans="1:2" ht="15.75">
      <c r="A14" s="493"/>
      <c r="B14" s="561" t="str">
        <f>names!A2109</f>
        <v>Downstream</v>
      </c>
    </row>
    <row r="15" spans="1:2" ht="15.75">
      <c r="A15" s="493"/>
      <c r="B15" s="561" t="str">
        <f>names!A2112</f>
        <v>Energy</v>
      </c>
    </row>
    <row r="16" spans="1:2" ht="15.75">
      <c r="A16" s="493"/>
      <c r="B16" s="561" t="str">
        <f>names!A2118</f>
        <v>Consumers&amp;Products</v>
      </c>
    </row>
    <row r="17" spans="1:2" ht="15.75">
      <c r="A17" s="493"/>
      <c r="B17" s="561" t="str">
        <f>names!A21</f>
        <v>Corporate functions</v>
      </c>
    </row>
    <row r="18" spans="1:2" ht="15.75">
      <c r="A18" s="493"/>
      <c r="B18" s="561" t="str">
        <f>names!A22</f>
        <v>RZiS</v>
      </c>
    </row>
    <row r="19" spans="1:2" ht="15.75">
      <c r="A19" s="493"/>
      <c r="B19" s="561" t="str">
        <f>names!A23</f>
        <v>Bilans</v>
      </c>
    </row>
    <row r="20" spans="1:2" ht="15.75">
      <c r="A20" s="493"/>
      <c r="B20" s="561" t="str">
        <f>names!A24</f>
        <v>CashFlow</v>
      </c>
    </row>
    <row r="21" spans="1:2">
      <c r="A21" s="493"/>
      <c r="B21" s="493"/>
    </row>
    <row r="22" spans="1:2" ht="20.25">
      <c r="A22" s="562" t="str">
        <f>names!A26</f>
        <v>Wybrane dane operacyjne</v>
      </c>
    </row>
    <row r="23" spans="1:2" ht="15.75">
      <c r="A23" s="493"/>
      <c r="B23" s="561" t="str">
        <f>names!A27</f>
        <v>Produkcja Downstream</v>
      </c>
    </row>
    <row r="24" spans="1:2" ht="15.75">
      <c r="B24" s="561" t="str">
        <f>names!A28</f>
        <v>Sprzedaż Downstream i C&amp;P</v>
      </c>
    </row>
    <row r="25" spans="1:2" ht="15.75">
      <c r="B25" s="561" t="str">
        <f>names!A29</f>
        <v>Upstream&amp;Supply_Energy</v>
      </c>
    </row>
    <row r="27" spans="1:2" ht="20.25">
      <c r="A27" s="562" t="str">
        <f>names!A31</f>
        <v>Dane historyczne</v>
      </c>
    </row>
    <row r="28" spans="1:2" ht="16.5" customHeight="1">
      <c r="A28" s="562"/>
      <c r="B28" s="537" t="str">
        <f>names!A32</f>
        <v>Marże '13-'24</v>
      </c>
    </row>
    <row r="29" spans="1:2" ht="16.5" customHeight="1">
      <c r="A29" s="562"/>
      <c r="B29" s="537" t="str">
        <f>names!A33</f>
        <v>Kursy  '13-'24</v>
      </c>
    </row>
    <row r="30" spans="1:2" ht="16.5" customHeight="1">
      <c r="A30" s="562"/>
      <c r="B30" s="537" t="str">
        <f>names!A34</f>
        <v>Konsumpcja '13-'24</v>
      </c>
    </row>
    <row r="31" spans="1:2" ht="16.5" customHeight="1">
      <c r="A31" s="562"/>
      <c r="B31" s="537" t="str">
        <f>names!A35</f>
        <v>Kluczowe dane finansowe '13-'19</v>
      </c>
    </row>
    <row r="32" spans="1:2" ht="16.5" customHeight="1">
      <c r="A32" s="562"/>
      <c r="B32" s="537" t="str">
        <f>names!A36</f>
        <v>Kluczowe dane finansowe '19-'24</v>
      </c>
    </row>
    <row r="33" spans="1:2" ht="16.5" customHeight="1">
      <c r="A33" s="562"/>
      <c r="B33" s="537" t="str">
        <f>names!A37</f>
        <v>EBITDA, EBIT, Amort. '13-'19</v>
      </c>
    </row>
    <row r="34" spans="1:2" ht="16.5" customHeight="1">
      <c r="A34" s="562"/>
      <c r="B34" s="537" t="str">
        <f>names!A38</f>
        <v>EBITDA, EBIT, Amort. '19-'24</v>
      </c>
    </row>
    <row r="35" spans="1:2" ht="16.5" customHeight="1">
      <c r="A35" s="562"/>
      <c r="B35" s="537" t="str">
        <f>names!A39</f>
        <v>Downstream '13-'19</v>
      </c>
    </row>
    <row r="36" spans="1:2" ht="16.5" customHeight="1">
      <c r="A36" s="562"/>
      <c r="B36" s="537" t="str">
        <f>names!A40</f>
        <v>Rafineria '19-'24</v>
      </c>
    </row>
    <row r="37" spans="1:2" ht="16.5" customHeight="1">
      <c r="A37" s="562"/>
      <c r="B37" s="537" t="str">
        <f>names!A41</f>
        <v>Petrochemia '19-'24</v>
      </c>
    </row>
    <row r="38" spans="1:2" ht="16.5" customHeight="1">
      <c r="A38" s="562"/>
      <c r="B38" s="537" t="str">
        <f>names!A42</f>
        <v>Energetyka '19-'24</v>
      </c>
    </row>
    <row r="39" spans="1:2" ht="16.5" customHeight="1">
      <c r="A39" s="562"/>
      <c r="B39" s="537" t="str">
        <f>names!A43</f>
        <v>Detal '13-'24</v>
      </c>
    </row>
    <row r="40" spans="1:2" ht="16.5" customHeight="1">
      <c r="A40" s="562"/>
      <c r="B40" s="537" t="str">
        <f>names!A44</f>
        <v>Wydobycie '13-'24</v>
      </c>
    </row>
    <row r="41" spans="1:2" ht="16.5" customHeight="1">
      <c r="A41" s="562"/>
      <c r="B41" s="537" t="str">
        <f>names!A45</f>
        <v>Gaz '22-'24</v>
      </c>
    </row>
    <row r="42" spans="1:2" ht="16.5" customHeight="1">
      <c r="A42" s="562"/>
      <c r="B42" s="537" t="str">
        <f>names!A46</f>
        <v>Funkcje Korporacyjne '13-'24</v>
      </c>
    </row>
    <row r="43" spans="1:2" ht="16.5" customHeight="1">
      <c r="A43" s="562"/>
      <c r="B43" s="537" t="str">
        <f>names!A47</f>
        <v>RZiS '13-'17</v>
      </c>
    </row>
    <row r="44" spans="1:2" ht="16.5" customHeight="1">
      <c r="A44" s="562"/>
      <c r="B44" s="537" t="str">
        <f>names!A48</f>
        <v>RZiS '18</v>
      </c>
    </row>
    <row r="45" spans="1:2" ht="16.5" customHeight="1">
      <c r="A45" s="562"/>
      <c r="B45" s="537" t="str">
        <f>names!A49</f>
        <v>RZiS '19-'24</v>
      </c>
    </row>
    <row r="46" spans="1:2" ht="16.5" customHeight="1">
      <c r="A46" s="562"/>
      <c r="B46" s="537" t="str">
        <f>names!A50</f>
        <v>Bilans '13-'15</v>
      </c>
    </row>
    <row r="47" spans="1:2" ht="16.5" customHeight="1">
      <c r="A47" s="562"/>
      <c r="B47" s="537" t="str">
        <f>names!A51</f>
        <v>Bilans '16</v>
      </c>
    </row>
    <row r="48" spans="1:2" ht="16.5" customHeight="1">
      <c r="A48" s="562"/>
      <c r="B48" s="537" t="str">
        <f>names!A52</f>
        <v>Bilans '17-'18</v>
      </c>
    </row>
    <row r="49" spans="1:2" ht="16.5" customHeight="1">
      <c r="A49" s="562"/>
      <c r="B49" s="537" t="str">
        <f>names!A53</f>
        <v>Bilans '19-'24</v>
      </c>
    </row>
    <row r="50" spans="1:2" ht="16.5" customHeight="1">
      <c r="A50" s="562"/>
      <c r="B50" s="537" t="str">
        <f>names!A54</f>
        <v>CashFlow '13-'15</v>
      </c>
    </row>
    <row r="51" spans="1:2" ht="16.5" customHeight="1">
      <c r="A51" s="562"/>
      <c r="B51" s="537" t="str">
        <f>names!A55</f>
        <v>CashFlow '16-'17</v>
      </c>
    </row>
    <row r="52" spans="1:2" ht="16.5" customHeight="1">
      <c r="A52" s="562"/>
      <c r="B52" s="537" t="str">
        <f>names!A56</f>
        <v>CashFlow '18</v>
      </c>
    </row>
    <row r="53" spans="1:2" ht="16.5" customHeight="1">
      <c r="A53" s="562"/>
      <c r="B53" s="537" t="str">
        <f>names!A57</f>
        <v>CashFlow '19</v>
      </c>
    </row>
    <row r="54" spans="1:2" ht="16.5" customHeight="1">
      <c r="A54" s="562"/>
      <c r="B54" s="537" t="str">
        <f>names!A58</f>
        <v>CashFlow '20</v>
      </c>
    </row>
    <row r="55" spans="1:2" ht="16.5" customHeight="1">
      <c r="A55" s="562"/>
      <c r="B55" s="537" t="str">
        <f>names!A59</f>
        <v>CashFlow '21</v>
      </c>
    </row>
    <row r="56" spans="1:2" ht="16.5" customHeight="1">
      <c r="A56" s="562"/>
      <c r="B56" s="537" t="str">
        <f>names!A60</f>
        <v>CashFlow '22</v>
      </c>
    </row>
    <row r="57" spans="1:2" ht="16.5" customHeight="1">
      <c r="A57" s="562"/>
      <c r="B57" s="537" t="str">
        <f>names!A61</f>
        <v>CashFlow '23</v>
      </c>
    </row>
    <row r="58" spans="1:2" ht="16.5" customHeight="1">
      <c r="A58" s="562"/>
      <c r="B58" s="537" t="str">
        <f>names!A62</f>
        <v>CashFlow '24</v>
      </c>
    </row>
    <row r="59" spans="1:2" ht="16.5" customHeight="1">
      <c r="A59" s="562"/>
      <c r="B59" s="537" t="str">
        <f>names!A63</f>
        <v>Produkcja '13-'19</v>
      </c>
    </row>
    <row r="60" spans="1:2" ht="16.5" customHeight="1">
      <c r="A60" s="562"/>
      <c r="B60" s="537" t="str">
        <f>names!A64</f>
        <v>Produkcja '19-'24</v>
      </c>
    </row>
    <row r="61" spans="1:2" ht="16.5" customHeight="1">
      <c r="A61" s="562"/>
      <c r="B61" s="537" t="str">
        <f>names!A65</f>
        <v>Sprzedaż '13-'19</v>
      </c>
    </row>
    <row r="62" spans="1:2" ht="16.5" customHeight="1">
      <c r="A62" s="562"/>
      <c r="B62" s="537" t="str">
        <f>names!A66</f>
        <v>Sprzedaż '19-'24</v>
      </c>
    </row>
    <row r="63" spans="1:2" ht="16.5" customHeight="1">
      <c r="A63" s="562"/>
      <c r="B63" s="537" t="str">
        <f>names!A67</f>
        <v>Energ_Wydoby_Gaz_'19-'22</v>
      </c>
    </row>
    <row r="64" spans="1:2" ht="15.75">
      <c r="B64" s="537" t="str">
        <f>names!A69</f>
        <v>Spółki dawnej Grupy PGNiG</v>
      </c>
    </row>
  </sheetData>
  <conditionalFormatting sqref="O1:O1048576">
    <cfRule type="cellIs" dxfId="130" priority="1" operator="equal">
      <formula>FALSE</formula>
    </cfRule>
  </conditionalFormatting>
  <hyperlinks>
    <hyperlink ref="B8" location="Konsumpcja!A1" display="Konsumpcja!A1" xr:uid="{00000000-0004-0000-0200-000000000000}"/>
    <hyperlink ref="B31" location="'Kluczowe dane finansowe''13-''19'!A1" display="'Kluczowe dane finansowe''13-''19'!A1" xr:uid="{00000000-0004-0000-0200-000001000000}"/>
    <hyperlink ref="B11" location="'Kluczowe dane finansowe'!A1" display="Kluczowe dane finansowe" xr:uid="{00000000-0004-0000-0200-000002000000}"/>
    <hyperlink ref="B33" location="'EBITDA, EBIT, Amort.''13-''19'!A1" display="'EBITDA, EBIT, Amort.''13-''19'!A1" xr:uid="{00000000-0004-0000-0200-000003000000}"/>
    <hyperlink ref="B12" location="'EBITDA, EBIT, Amortyzacja'!A1" display="EBITDA, EBIT, Amortyzacja" xr:uid="{00000000-0004-0000-0200-000004000000}"/>
    <hyperlink ref="B35" location="'Downstream''13-''19'!A1" display="'Downstream''13-''19'!A1" xr:uid="{00000000-0004-0000-0200-000005000000}"/>
    <hyperlink ref="B17" location="'Corporate functions'!A1" display="'Corporate functions'!A1" xr:uid="{00000000-0004-0000-0200-000006000000}"/>
    <hyperlink ref="B43" location="'RZiS''13-''17'!A1" display="'RZiS''13-''17'!A1" xr:uid="{00000000-0004-0000-0200-000007000000}"/>
    <hyperlink ref="B44" location="'RZiS''18'!A1" display="'RZiS''18'!A1" xr:uid="{00000000-0004-0000-0200-000008000000}"/>
    <hyperlink ref="B18" location="RZiS!A1" display="RZiS" xr:uid="{00000000-0004-0000-0200-000009000000}"/>
    <hyperlink ref="B46" location="'Bilans''13-''15'!A1" display="'Bilans''13-''15'!A1" xr:uid="{00000000-0004-0000-0200-00000A000000}"/>
    <hyperlink ref="B47" location="'Bilans''16'!A1" display="'Bilans''16'!A1" xr:uid="{00000000-0004-0000-0200-00000B000000}"/>
    <hyperlink ref="B48" location="'Bilans''17-''18'!FWT_Bilans" display="Bilans''17_''18'" xr:uid="{00000000-0004-0000-0200-00000C000000}"/>
    <hyperlink ref="B19" location="Bilans!A1" display="Bilans" xr:uid="{00000000-0004-0000-0200-00000D000000}"/>
    <hyperlink ref="B50" location="'CashFlow ''13-''15'!A1" display="'CashFlow ''13-''15'!A1" xr:uid="{00000000-0004-0000-0200-00000E000000}"/>
    <hyperlink ref="B59" location="'Produkcja''13-''19'!Obszar_wydruku" display="Produkcja" xr:uid="{00000000-0004-0000-0200-00000F000000}"/>
    <hyperlink ref="B61" location="'Sprzedaż ''13-''19'!Obszar_wydruku" display="Sprzedaż '13-'20" xr:uid="{00000000-0004-0000-0200-000010000000}"/>
    <hyperlink ref="B24" location="'Sprzedaż Downstream i C&amp;P'!A1" display="'Sprzedaż Downstream i C&amp;P'!A1" xr:uid="{00000000-0004-0000-0200-000011000000}"/>
    <hyperlink ref="B23" location="'Produkcja Downstream'!A1" display="'Produkcja Downstream'!A1" xr:uid="{00000000-0004-0000-0200-000012000000}"/>
    <hyperlink ref="B20" location="CashFlow!A1" display="CashFlow" xr:uid="{00000000-0004-0000-0200-000013000000}"/>
    <hyperlink ref="B25" location="'Upstream&amp;Supply_Energy'!A1" display="'Upstream&amp;Supply_Energy'!A1" xr:uid="{00000000-0004-0000-0200-000014000000}"/>
    <hyperlink ref="B51" location="'CashFlow ''16-''17'!A1" display="'CashFlow ''16-''17'!A1" xr:uid="{00000000-0004-0000-0200-000015000000}"/>
    <hyperlink ref="B52" location="'CashFlow ''18'!A1" display="'CashFlow ''18'!A1" xr:uid="{00000000-0004-0000-0200-000016000000}"/>
    <hyperlink ref="B53" location="'CashFlow ''19'!A1" display="'CashFlow ''19'!A1" xr:uid="{00000000-0004-0000-0200-000017000000}"/>
    <hyperlink ref="B54" location="'CashFlow ''20'!A1" display="'CashFlow ''20'!A1" xr:uid="{00000000-0004-0000-0200-000018000000}"/>
    <hyperlink ref="B55" location="'CashFlow ''21'!FWT_CF" display="CashFlow '21" xr:uid="{00000000-0004-0000-0200-000019000000}"/>
    <hyperlink ref="B64" location="'Spółki dawnej Grupy PGNiG'!A1" display="Spółki dawnej Grupy PGNiG" xr:uid="{00000000-0004-0000-0200-00001A000000}"/>
    <hyperlink ref="B56" location="'CashFlow ''22'!A1" display="CashFlow '22" xr:uid="{00000000-0004-0000-0200-00001B000000}"/>
    <hyperlink ref="B63" location="'Energ_Wydoby_Gaz_''19-''22'!A1" display="Energ_Wydoby_Gaz_'19-'22" xr:uid="{00000000-0004-0000-0200-00001C000000}"/>
    <hyperlink ref="B57" location="'CashFlow ''23'!FWT_CF" display="CashFlow '23" xr:uid="{00000000-0004-0000-0200-00001D000000}"/>
    <hyperlink ref="B7" location="'Parametry makro'!A1" display="'Parametry makro'!A1" xr:uid="{00000000-0004-0000-0200-00001E000000}"/>
    <hyperlink ref="B14" location="Downstream!A1" display="Downstream!A1" xr:uid="{00000000-0004-0000-0200-00001F000000}"/>
    <hyperlink ref="B15" location="Energy!A1" display="Energy!A1" xr:uid="{00000000-0004-0000-0200-000020000000}"/>
    <hyperlink ref="B16" location="'Consumers&amp;Products'!A1" display="'Consumers&amp;Products'!A1" xr:uid="{00000000-0004-0000-0200-000021000000}"/>
    <hyperlink ref="B13" location="'Upstream&amp;Supply'!A1" display="'Upstream&amp;Supply'!A1" xr:uid="{00000000-0004-0000-0200-000022000000}"/>
    <hyperlink ref="B34" location="'EBITDA, EBIT, Amort.''19-''24'!A1" display="'EBITDA, EBIT, Amort.''19-''24'!A1" xr:uid="{00000000-0004-0000-0200-000023000000}"/>
    <hyperlink ref="B32" location="'Kluczowe dane finansowe''19-''24'!A1" display="'Kluczowe dane finansowe''19-''24'!A1" xr:uid="{00000000-0004-0000-0200-000024000000}"/>
    <hyperlink ref="B36:B39" location="'Downstream''13-''19'!A1" display="'Downstream''13-''19'!A1" xr:uid="{00000000-0004-0000-0200-000025000000}"/>
    <hyperlink ref="B40:B41" location="'Downstream''13-''19'!A1" display="'Downstream''13-''19'!A1" xr:uid="{00000000-0004-0000-0200-000026000000}"/>
    <hyperlink ref="B62" location="'Sprzedaż ''19-''24'!Obszar_wydruku" display="'Sprzedaż ''19-''24'!Obszar_wydruku" xr:uid="{00000000-0004-0000-0200-000027000000}"/>
    <hyperlink ref="B36" location="'Rafineria ''19-''24'!A1" display="'Rafineria ''19-''24'!A1" xr:uid="{00000000-0004-0000-0200-000028000000}"/>
    <hyperlink ref="B37" location="'Petrochemia ''19-''24'!A1" display="'Petrochemia ''19-''24'!A1" xr:uid="{00000000-0004-0000-0200-000029000000}"/>
    <hyperlink ref="B38" location="'Energetyka ''19-''24'!A1" display="'Energetyka ''19-''24'!A1" xr:uid="{00000000-0004-0000-0200-00002A000000}"/>
    <hyperlink ref="B39" location="'Detal ''13-''24'!A1" display="'Detal ''13-''24'!A1" xr:uid="{00000000-0004-0000-0200-00002B000000}"/>
    <hyperlink ref="B40" location="'Wydobycie ''13-''24'!A1" display="'Wydobycie ''13-''24'!A1" xr:uid="{00000000-0004-0000-0200-00002C000000}"/>
    <hyperlink ref="B41" location="'Gaz ''22-''24'!A1" display="'Gaz ''22-''24'!A1" xr:uid="{00000000-0004-0000-0200-00002D000000}"/>
    <hyperlink ref="B28" location="'Marże''13-''24'!A1" display="'Marże''13-''24'!A1" xr:uid="{00000000-0004-0000-0200-00002E000000}"/>
    <hyperlink ref="B29" location="'Kursy''13-''24'!A1" display="'Kursy''13-''24'!A1" xr:uid="{00000000-0004-0000-0200-00002F000000}"/>
    <hyperlink ref="B30" location="'Konsumpcja''13-''24'!A1" display="'Konsumpcja''13-''24'!A1" xr:uid="{00000000-0004-0000-0200-000030000000}"/>
    <hyperlink ref="B42" location="'Funkcje Korporacyjne ''13-''24'!A1" display="'Funkcje Korporacyjne ''13-''24'!A1" xr:uid="{00000000-0004-0000-0200-000031000000}"/>
    <hyperlink ref="B49" location="'Bilans''19-''24'!A1" display="'Bilans''19-''24'!A1" xr:uid="{00000000-0004-0000-0200-000032000000}"/>
    <hyperlink ref="B58" location="'CashFlow''24'!A1" display="'CashFlow''24'!A1" xr:uid="{00000000-0004-0000-0200-000033000000}"/>
    <hyperlink ref="B45" location="'RZiS''19-''24'!A1" display="'RZiS''19-''24'!A1" xr:uid="{00000000-0004-0000-0200-000034000000}"/>
    <hyperlink ref="B60" location="'Produkcja''19-''24'!A1" display="Produkcja'19-'24" xr:uid="{2B3CCF2C-1A0B-48AF-8FC6-B6BECFA7E773}"/>
  </hyperlinks>
  <pageMargins left="0.70866141732283472" right="0.70866141732283472" top="0.74803149606299213" bottom="0.74803149606299213" header="0.31496062992125984" footer="0.31496062992125984"/>
  <pageSetup paperSize="9" scale="46"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4">
    <tabColor theme="0" tint="-0.34998626667073579"/>
    <pageSetUpPr fitToPage="1"/>
  </sheetPr>
  <dimension ref="B2:AW28"/>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63" style="16" customWidth="1"/>
    <col min="3" max="6" width="8.42578125" hidden="1" customWidth="1" outlineLevel="1"/>
    <col min="7" max="7" width="8.42578125" customWidth="1" collapsed="1"/>
    <col min="8" max="11" width="8.42578125" hidden="1" customWidth="1" outlineLevel="1"/>
    <col min="12" max="12" width="8.42578125" customWidth="1" collapsed="1"/>
    <col min="13" max="13" width="8.42578125" hidden="1" customWidth="1" outlineLevel="1"/>
    <col min="14" max="16" width="7.5703125" hidden="1" customWidth="1" outlineLevel="1"/>
    <col min="17" max="17" width="7.5703125" customWidth="1" collapsed="1"/>
    <col min="18" max="18" width="8.42578125" hidden="1" customWidth="1" outlineLevel="1"/>
    <col min="19" max="21" width="7.5703125" hidden="1" customWidth="1" outlineLevel="1"/>
    <col min="22" max="22" width="7.5703125" customWidth="1" collapsed="1"/>
    <col min="23" max="23" width="8.42578125" hidden="1" customWidth="1" outlineLevel="1"/>
    <col min="24" max="26" width="7.5703125" hidden="1" customWidth="1" outlineLevel="1"/>
    <col min="27" max="27" width="7.5703125" customWidth="1" collapsed="1"/>
    <col min="28" max="28" width="8.42578125" hidden="1" customWidth="1" outlineLevel="1"/>
    <col min="29" max="31" width="7.5703125" hidden="1" customWidth="1" outlineLevel="1"/>
    <col min="32" max="32" width="7.5703125" customWidth="1" collapsed="1"/>
    <col min="33" max="33" width="8.42578125" hidden="1" customWidth="1" outlineLevel="1"/>
    <col min="34" max="36" width="7.5703125" hidden="1" customWidth="1" outlineLevel="1"/>
    <col min="37" max="37" width="7.5703125" customWidth="1" collapsed="1"/>
    <col min="38" max="38" width="8.42578125" customWidth="1"/>
    <col min="39" max="43" width="9.28515625" customWidth="1"/>
    <col min="44" max="44" width="26" customWidth="1"/>
    <col min="45" max="48" width="9.28515625" customWidth="1"/>
  </cols>
  <sheetData>
    <row r="2" spans="2:49" ht="15.75">
      <c r="B2" s="397" t="str">
        <f>names!$A1193</f>
        <v>Segment Downstream</v>
      </c>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B2" s="704"/>
      <c r="AC2" s="704"/>
      <c r="AD2" s="704"/>
      <c r="AE2" s="708"/>
      <c r="AF2" s="708"/>
      <c r="AG2" s="704"/>
      <c r="AH2" s="704"/>
      <c r="AI2" s="704"/>
      <c r="AJ2" s="704"/>
      <c r="AK2" s="704"/>
      <c r="AL2" s="704"/>
      <c r="AM2" s="577"/>
    </row>
    <row r="3" spans="2:49" ht="10.15" customHeight="1">
      <c r="AM3" s="577"/>
    </row>
    <row r="4" spans="2:49" s="24" customFormat="1" ht="32.25" customHeight="1">
      <c r="B4" s="15" t="str">
        <f>names!$A1195</f>
        <v>Wyszczególnienie, 
mln PLN</v>
      </c>
      <c r="C4" s="15" t="str">
        <f>names!$A499</f>
        <v>I kw.
2013 *</v>
      </c>
      <c r="D4" s="15" t="str">
        <f>names!$A500</f>
        <v>II kw.
2013 *</v>
      </c>
      <c r="E4" s="15" t="str">
        <f>names!$A501</f>
        <v>III kw.
2013 *</v>
      </c>
      <c r="F4" s="15" t="str">
        <f>names!$A502</f>
        <v>IV kw.
2013 *</v>
      </c>
      <c r="G4" s="15" t="str">
        <f>names!$A503</f>
        <v>12 m-cy
2013 *</v>
      </c>
      <c r="H4" s="15" t="str">
        <f>names!$A504</f>
        <v>I kw.
2014</v>
      </c>
      <c r="I4" s="15" t="str">
        <f>names!$A505</f>
        <v>II kw.
2014</v>
      </c>
      <c r="J4" s="15" t="str">
        <f>names!$A506</f>
        <v>III kw.
2014</v>
      </c>
      <c r="K4" s="15" t="str">
        <f>names!$A507</f>
        <v>IV kw.
2014</v>
      </c>
      <c r="L4" s="15" t="str">
        <f>names!$A508</f>
        <v>12 m-cy
2014</v>
      </c>
      <c r="M4" s="15" t="str">
        <f>names!$A509</f>
        <v>I kw.
2015</v>
      </c>
      <c r="N4" s="15" t="str">
        <f>names!$A510</f>
        <v>II kw.
2015</v>
      </c>
      <c r="O4" s="15" t="str">
        <f>names!$A511</f>
        <v>III kw.
2015</v>
      </c>
      <c r="P4" s="15" t="str">
        <f>names!$A512</f>
        <v>IV kw.
2015</v>
      </c>
      <c r="Q4" s="15" t="str">
        <f>names!$A513</f>
        <v>12 m-cy
2015</v>
      </c>
      <c r="R4" s="15" t="str">
        <f>names!$A514</f>
        <v>I kw.
2016</v>
      </c>
      <c r="S4" s="15" t="str">
        <f>names!$A515</f>
        <v>II kw.
2016</v>
      </c>
      <c r="T4" s="15" t="str">
        <f>names!$A516</f>
        <v>III kw.
2016</v>
      </c>
      <c r="U4" s="15" t="str">
        <f>names!$A517</f>
        <v>IV kw.
2016</v>
      </c>
      <c r="V4" s="15" t="str">
        <f>names!$A518</f>
        <v>12 m-cy
2016</v>
      </c>
      <c r="W4" s="15" t="str">
        <f>names!$A519</f>
        <v>I kw.
2017</v>
      </c>
      <c r="X4" s="15" t="str">
        <f>names!$A520</f>
        <v>II kw.
2017</v>
      </c>
      <c r="Y4" s="15" t="str">
        <f>names!$A521</f>
        <v>III kw.
2017</v>
      </c>
      <c r="Z4" s="15" t="str">
        <f>names!$A522</f>
        <v>IV kw.
2017</v>
      </c>
      <c r="AA4" s="15" t="str">
        <f>names!$A523</f>
        <v>12 m-cy
2017</v>
      </c>
      <c r="AB4" s="15" t="str">
        <f>names!$A524</f>
        <v>I kw.
2018</v>
      </c>
      <c r="AC4" s="15" t="str">
        <f>names!$A525</f>
        <v>II kw.
2018</v>
      </c>
      <c r="AD4" s="15" t="str">
        <f>names!$A526</f>
        <v>III kw.
2018</v>
      </c>
      <c r="AE4" s="15" t="str">
        <f>names!$A1217</f>
        <v>IV kw.
2018 **</v>
      </c>
      <c r="AF4" s="15" t="str">
        <f>names!$A1218</f>
        <v>12 m-cy
2018 **</v>
      </c>
      <c r="AG4" s="15" t="str">
        <f>names!$A531</f>
        <v>I kw.
2019</v>
      </c>
      <c r="AH4" s="15" t="str">
        <f>names!$A532</f>
        <v>II kw.
2019</v>
      </c>
      <c r="AI4" s="15" t="str">
        <f>names!$A533</f>
        <v>III kw.
2019</v>
      </c>
      <c r="AJ4" s="15" t="str">
        <f>names!$A534</f>
        <v>IV kw.
2019</v>
      </c>
      <c r="AK4" s="15" t="str">
        <f>names!$A535</f>
        <v>12 m-cy
2019</v>
      </c>
      <c r="AL4" s="15" t="str">
        <f>names!A149</f>
        <v>I kw. 
2020</v>
      </c>
      <c r="AM4" s="577"/>
    </row>
    <row r="5" spans="2:49"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577"/>
    </row>
    <row r="6" spans="2:49" s="1" customFormat="1" ht="11.25">
      <c r="B6" s="59" t="str">
        <f>names!$A1197</f>
        <v>Przychody ze sprzedaży</v>
      </c>
      <c r="C6" s="146">
        <v>22850</v>
      </c>
      <c r="D6" s="146">
        <v>22870</v>
      </c>
      <c r="E6" s="146">
        <v>24675</v>
      </c>
      <c r="F6" s="146">
        <v>22591</v>
      </c>
      <c r="G6" s="235">
        <v>92986</v>
      </c>
      <c r="H6" s="146">
        <v>19273</v>
      </c>
      <c r="I6" s="146">
        <v>23324</v>
      </c>
      <c r="J6" s="146">
        <v>23565</v>
      </c>
      <c r="K6" s="146">
        <v>19779</v>
      </c>
      <c r="L6" s="235">
        <v>85941</v>
      </c>
      <c r="M6" s="146">
        <v>15696</v>
      </c>
      <c r="N6" s="146">
        <v>20108</v>
      </c>
      <c r="O6" s="146">
        <v>18464</v>
      </c>
      <c r="P6" s="146">
        <v>15343</v>
      </c>
      <c r="Q6" s="235">
        <v>69611</v>
      </c>
      <c r="R6" s="146">
        <v>11943</v>
      </c>
      <c r="S6" s="146">
        <v>14422</v>
      </c>
      <c r="T6" s="146">
        <v>15851</v>
      </c>
      <c r="U6" s="146">
        <v>17878</v>
      </c>
      <c r="V6" s="235">
        <v>60094</v>
      </c>
      <c r="W6" s="146">
        <v>18053</v>
      </c>
      <c r="X6" s="146">
        <v>17698</v>
      </c>
      <c r="Y6" s="146">
        <v>19336</v>
      </c>
      <c r="Z6" s="146">
        <v>20154</v>
      </c>
      <c r="AA6" s="235">
        <v>75241</v>
      </c>
      <c r="AB6" s="146">
        <v>18771</v>
      </c>
      <c r="AC6" s="146">
        <v>21847</v>
      </c>
      <c r="AD6" s="146">
        <v>25014</v>
      </c>
      <c r="AE6" s="146">
        <v>24105</v>
      </c>
      <c r="AF6" s="235">
        <v>89737</v>
      </c>
      <c r="AG6" s="146">
        <v>20577</v>
      </c>
      <c r="AH6" s="146">
        <v>23867</v>
      </c>
      <c r="AI6" s="146">
        <v>23796</v>
      </c>
      <c r="AJ6" s="146">
        <v>22463</v>
      </c>
      <c r="AK6" s="235">
        <v>90703</v>
      </c>
      <c r="AL6" s="146">
        <v>17182</v>
      </c>
      <c r="AM6" s="577"/>
      <c r="AN6" s="6"/>
      <c r="AO6" s="6"/>
      <c r="AP6" s="6"/>
      <c r="AQ6" s="6"/>
      <c r="AR6" s="6"/>
      <c r="AS6" s="6"/>
      <c r="AT6" s="6"/>
      <c r="AU6" s="6"/>
      <c r="AV6" s="6"/>
      <c r="AW6" s="6"/>
    </row>
    <row r="7" spans="2:49" s="1" customFormat="1" ht="11.25">
      <c r="B7" s="95" t="str">
        <f>names!$A1198</f>
        <v>Sprzedaż zewnętrzna</v>
      </c>
      <c r="C7" s="147">
        <v>19264</v>
      </c>
      <c r="D7" s="147">
        <v>18931</v>
      </c>
      <c r="E7" s="147">
        <v>20188</v>
      </c>
      <c r="F7" s="147">
        <v>18664</v>
      </c>
      <c r="G7" s="236">
        <v>77047</v>
      </c>
      <c r="H7" s="147">
        <v>15718</v>
      </c>
      <c r="I7" s="147">
        <v>19293</v>
      </c>
      <c r="J7" s="147">
        <v>19273</v>
      </c>
      <c r="K7" s="147">
        <v>16265</v>
      </c>
      <c r="L7" s="236">
        <v>70549</v>
      </c>
      <c r="M7" s="147">
        <v>12880</v>
      </c>
      <c r="N7" s="147">
        <v>16564</v>
      </c>
      <c r="O7" s="147">
        <v>15060</v>
      </c>
      <c r="P7" s="147">
        <v>12483</v>
      </c>
      <c r="Q7" s="236">
        <v>56987</v>
      </c>
      <c r="R7" s="147">
        <v>9838</v>
      </c>
      <c r="S7" s="147">
        <v>11655</v>
      </c>
      <c r="T7" s="147">
        <v>12961</v>
      </c>
      <c r="U7" s="147">
        <v>14748</v>
      </c>
      <c r="V7" s="236">
        <v>49202</v>
      </c>
      <c r="W7" s="147">
        <v>14833</v>
      </c>
      <c r="X7" s="147">
        <v>14327</v>
      </c>
      <c r="Y7" s="147">
        <v>15786</v>
      </c>
      <c r="Z7" s="147">
        <v>16479</v>
      </c>
      <c r="AA7" s="236">
        <v>61425</v>
      </c>
      <c r="AB7" s="147">
        <v>15161</v>
      </c>
      <c r="AC7" s="147">
        <v>17322</v>
      </c>
      <c r="AD7" s="147">
        <v>19889</v>
      </c>
      <c r="AE7" s="147">
        <v>19291</v>
      </c>
      <c r="AF7" s="236">
        <v>71663</v>
      </c>
      <c r="AG7" s="147">
        <v>16518</v>
      </c>
      <c r="AH7" s="147">
        <v>18881</v>
      </c>
      <c r="AI7" s="147">
        <v>18694</v>
      </c>
      <c r="AJ7" s="147">
        <v>17511</v>
      </c>
      <c r="AK7" s="236">
        <v>71604</v>
      </c>
      <c r="AL7" s="147">
        <v>13304</v>
      </c>
      <c r="AM7" s="577"/>
      <c r="AN7" s="6"/>
      <c r="AO7" s="6"/>
      <c r="AP7" s="6"/>
      <c r="AQ7" s="6"/>
      <c r="AR7" s="6"/>
      <c r="AS7" s="6"/>
      <c r="AT7" s="6"/>
      <c r="AU7" s="6"/>
      <c r="AV7" s="6"/>
      <c r="AW7" s="6"/>
    </row>
    <row r="8" spans="2:49" s="1" customFormat="1" ht="11.25">
      <c r="B8" s="25" t="str">
        <f>names!$A1199</f>
        <v>Sprzedaż między segmentami</v>
      </c>
      <c r="C8" s="131">
        <v>3586</v>
      </c>
      <c r="D8" s="131">
        <v>3939</v>
      </c>
      <c r="E8" s="131">
        <v>4487</v>
      </c>
      <c r="F8" s="131">
        <v>3927</v>
      </c>
      <c r="G8" s="229">
        <v>15939</v>
      </c>
      <c r="H8" s="131">
        <v>3555</v>
      </c>
      <c r="I8" s="131">
        <v>4031</v>
      </c>
      <c r="J8" s="131">
        <v>4292</v>
      </c>
      <c r="K8" s="131">
        <v>3514</v>
      </c>
      <c r="L8" s="229">
        <v>15392</v>
      </c>
      <c r="M8" s="131">
        <v>2816</v>
      </c>
      <c r="N8" s="131">
        <v>3544</v>
      </c>
      <c r="O8" s="131">
        <v>3404</v>
      </c>
      <c r="P8" s="131">
        <v>2860</v>
      </c>
      <c r="Q8" s="229">
        <v>12624</v>
      </c>
      <c r="R8" s="131">
        <v>2105</v>
      </c>
      <c r="S8" s="131">
        <v>2767</v>
      </c>
      <c r="T8" s="131">
        <v>2890</v>
      </c>
      <c r="U8" s="131">
        <v>3130</v>
      </c>
      <c r="V8" s="229">
        <v>10892</v>
      </c>
      <c r="W8" s="131">
        <v>3220</v>
      </c>
      <c r="X8" s="131">
        <v>3371</v>
      </c>
      <c r="Y8" s="131">
        <v>3550</v>
      </c>
      <c r="Z8" s="131">
        <v>3675</v>
      </c>
      <c r="AA8" s="229">
        <v>13816</v>
      </c>
      <c r="AB8" s="131">
        <v>3610</v>
      </c>
      <c r="AC8" s="131">
        <v>4525</v>
      </c>
      <c r="AD8" s="131">
        <v>5125</v>
      </c>
      <c r="AE8" s="131">
        <v>4814</v>
      </c>
      <c r="AF8" s="229">
        <v>18074</v>
      </c>
      <c r="AG8" s="131">
        <v>4059</v>
      </c>
      <c r="AH8" s="131">
        <v>4986</v>
      </c>
      <c r="AI8" s="131">
        <v>5102</v>
      </c>
      <c r="AJ8" s="131">
        <v>4952</v>
      </c>
      <c r="AK8" s="229">
        <v>19099</v>
      </c>
      <c r="AL8" s="131">
        <v>3878</v>
      </c>
      <c r="AM8" s="577"/>
      <c r="AN8" s="6"/>
      <c r="AO8" s="6"/>
      <c r="AP8" s="6"/>
      <c r="AQ8" s="6"/>
      <c r="AR8" s="6"/>
      <c r="AS8" s="6"/>
      <c r="AT8" s="6"/>
      <c r="AU8" s="6"/>
      <c r="AV8" s="6"/>
      <c r="AW8" s="6"/>
    </row>
    <row r="9" spans="2:49" s="1" customFormat="1" ht="11.25">
      <c r="B9" s="89" t="str">
        <f>names!$A1200</f>
        <v>Koszty operacyjne ogółem</v>
      </c>
      <c r="C9" s="145">
        <v>-22390</v>
      </c>
      <c r="D9" s="145">
        <v>-23128</v>
      </c>
      <c r="E9" s="145">
        <v>-24269</v>
      </c>
      <c r="F9" s="145">
        <v>-22923</v>
      </c>
      <c r="G9" s="237">
        <v>-92710</v>
      </c>
      <c r="H9" s="145">
        <v>-19218</v>
      </c>
      <c r="I9" s="145">
        <v>-23267</v>
      </c>
      <c r="J9" s="145">
        <v>-22800</v>
      </c>
      <c r="K9" s="145">
        <v>-20686</v>
      </c>
      <c r="L9" s="237">
        <v>-85971</v>
      </c>
      <c r="M9" s="145">
        <v>-14554</v>
      </c>
      <c r="N9" s="145">
        <v>-17652</v>
      </c>
      <c r="O9" s="145">
        <v>-17575</v>
      </c>
      <c r="P9" s="145">
        <v>-15182</v>
      </c>
      <c r="Q9" s="237">
        <v>-64963</v>
      </c>
      <c r="R9" s="145">
        <v>-11652</v>
      </c>
      <c r="S9" s="145">
        <v>-12790</v>
      </c>
      <c r="T9" s="145">
        <v>-14841</v>
      </c>
      <c r="U9" s="145">
        <v>-15656</v>
      </c>
      <c r="V9" s="237">
        <v>-54939</v>
      </c>
      <c r="W9" s="145">
        <v>-16141</v>
      </c>
      <c r="X9" s="145">
        <v>-16487</v>
      </c>
      <c r="Y9" s="145">
        <v>-17475</v>
      </c>
      <c r="Z9" s="145">
        <v>-18307</v>
      </c>
      <c r="AA9" s="237">
        <v>-68410</v>
      </c>
      <c r="AB9" s="145">
        <v>-17677</v>
      </c>
      <c r="AC9" s="145">
        <v>-20236</v>
      </c>
      <c r="AD9" s="145">
        <v>-23194</v>
      </c>
      <c r="AE9" s="145">
        <v>-24097</v>
      </c>
      <c r="AF9" s="237">
        <v>-85204</v>
      </c>
      <c r="AG9" s="145">
        <v>-19940</v>
      </c>
      <c r="AH9" s="145">
        <v>-22389</v>
      </c>
      <c r="AI9" s="145">
        <v>-22322</v>
      </c>
      <c r="AJ9" s="145">
        <v>-21768</v>
      </c>
      <c r="AK9" s="237">
        <v>-86419</v>
      </c>
      <c r="AL9" s="145">
        <v>-20169</v>
      </c>
      <c r="AM9" s="577"/>
      <c r="AN9" s="6"/>
      <c r="AO9" s="6"/>
      <c r="AP9" s="6"/>
      <c r="AQ9" s="6"/>
      <c r="AR9" s="6"/>
      <c r="AS9" s="6"/>
      <c r="AT9" s="6"/>
      <c r="AU9" s="6"/>
      <c r="AV9" s="6"/>
      <c r="AW9" s="6"/>
    </row>
    <row r="10" spans="2:49" s="1" customFormat="1" ht="11.25">
      <c r="B10" s="20" t="str">
        <f>names!$A1201</f>
        <v>Pozostałe przychody operacyjne</v>
      </c>
      <c r="C10" s="131">
        <v>43</v>
      </c>
      <c r="D10" s="131">
        <v>53</v>
      </c>
      <c r="E10" s="131">
        <v>18</v>
      </c>
      <c r="F10" s="131">
        <v>74</v>
      </c>
      <c r="G10" s="229">
        <v>188</v>
      </c>
      <c r="H10" s="131">
        <v>255</v>
      </c>
      <c r="I10" s="131">
        <v>45</v>
      </c>
      <c r="J10" s="131">
        <v>63</v>
      </c>
      <c r="K10" s="131">
        <v>105</v>
      </c>
      <c r="L10" s="229">
        <v>468</v>
      </c>
      <c r="M10" s="131">
        <v>60</v>
      </c>
      <c r="N10" s="131">
        <v>83</v>
      </c>
      <c r="O10" s="131">
        <v>53</v>
      </c>
      <c r="P10" s="131">
        <v>80</v>
      </c>
      <c r="Q10" s="229">
        <v>276</v>
      </c>
      <c r="R10" s="131">
        <v>163</v>
      </c>
      <c r="S10" s="131">
        <v>690</v>
      </c>
      <c r="T10" s="131">
        <v>423</v>
      </c>
      <c r="U10" s="131">
        <v>688</v>
      </c>
      <c r="V10" s="229">
        <v>1964</v>
      </c>
      <c r="W10" s="131">
        <v>223</v>
      </c>
      <c r="X10" s="131">
        <v>584</v>
      </c>
      <c r="Y10" s="131">
        <v>114</v>
      </c>
      <c r="Z10" s="131">
        <v>127</v>
      </c>
      <c r="AA10" s="229">
        <v>1048</v>
      </c>
      <c r="AB10" s="131">
        <v>281</v>
      </c>
      <c r="AC10" s="131">
        <v>464</v>
      </c>
      <c r="AD10" s="131">
        <v>113</v>
      </c>
      <c r="AE10" s="131">
        <v>934</v>
      </c>
      <c r="AF10" s="229">
        <v>1593</v>
      </c>
      <c r="AG10" s="131">
        <v>121</v>
      </c>
      <c r="AH10" s="131">
        <v>200</v>
      </c>
      <c r="AI10" s="131">
        <v>230</v>
      </c>
      <c r="AJ10" s="131">
        <v>333</v>
      </c>
      <c r="AK10" s="229">
        <v>861</v>
      </c>
      <c r="AL10" s="131">
        <v>2941</v>
      </c>
      <c r="AM10" s="577"/>
      <c r="AN10" s="6"/>
      <c r="AO10" s="6"/>
      <c r="AP10" s="6"/>
      <c r="AQ10" s="6"/>
      <c r="AR10" s="6"/>
      <c r="AS10" s="6"/>
      <c r="AT10" s="6"/>
      <c r="AU10" s="6"/>
      <c r="AV10" s="6"/>
      <c r="AW10" s="6"/>
    </row>
    <row r="11" spans="2:49" s="1" customFormat="1" ht="11.25">
      <c r="B11" s="20" t="str">
        <f>names!$A1202</f>
        <v>Pozostałe koszty operacyjne</v>
      </c>
      <c r="C11" s="131">
        <v>-42</v>
      </c>
      <c r="D11" s="131">
        <v>-43</v>
      </c>
      <c r="E11" s="131">
        <v>-66</v>
      </c>
      <c r="F11" s="131">
        <v>-248</v>
      </c>
      <c r="G11" s="229">
        <v>-399</v>
      </c>
      <c r="H11" s="131">
        <v>-70</v>
      </c>
      <c r="I11" s="131">
        <v>-5043</v>
      </c>
      <c r="J11" s="131">
        <v>-52</v>
      </c>
      <c r="K11" s="131">
        <v>-164</v>
      </c>
      <c r="L11" s="229">
        <v>-5329</v>
      </c>
      <c r="M11" s="131">
        <v>-39</v>
      </c>
      <c r="N11" s="131">
        <v>-54</v>
      </c>
      <c r="O11" s="131">
        <v>-130</v>
      </c>
      <c r="P11" s="131">
        <v>-93</v>
      </c>
      <c r="Q11" s="229">
        <v>-316</v>
      </c>
      <c r="R11" s="131">
        <v>-51</v>
      </c>
      <c r="S11" s="131">
        <v>-36</v>
      </c>
      <c r="T11" s="131">
        <v>-50</v>
      </c>
      <c r="U11" s="131">
        <v>-187</v>
      </c>
      <c r="V11" s="229">
        <v>-324</v>
      </c>
      <c r="W11" s="131">
        <v>-26</v>
      </c>
      <c r="X11" s="131">
        <v>-18</v>
      </c>
      <c r="Y11" s="131">
        <v>-28</v>
      </c>
      <c r="Z11" s="131">
        <v>-122</v>
      </c>
      <c r="AA11" s="229">
        <v>-194</v>
      </c>
      <c r="AB11" s="131">
        <v>-176</v>
      </c>
      <c r="AC11" s="131">
        <v>-64</v>
      </c>
      <c r="AD11" s="131">
        <v>-78</v>
      </c>
      <c r="AE11" s="131">
        <v>-147</v>
      </c>
      <c r="AF11" s="229">
        <v>-456</v>
      </c>
      <c r="AG11" s="131">
        <v>-110</v>
      </c>
      <c r="AH11" s="131">
        <v>-97</v>
      </c>
      <c r="AI11" s="131">
        <v>-332</v>
      </c>
      <c r="AJ11" s="131">
        <v>-656</v>
      </c>
      <c r="AK11" s="229">
        <v>-1172</v>
      </c>
      <c r="AL11" s="131">
        <v>-1768</v>
      </c>
      <c r="AM11" s="577"/>
      <c r="AN11" s="6"/>
      <c r="AO11" s="6"/>
      <c r="AP11" s="6"/>
      <c r="AQ11" s="6"/>
      <c r="AR11" s="6"/>
      <c r="AS11" s="6"/>
      <c r="AT11" s="6"/>
      <c r="AU11" s="6"/>
      <c r="AV11" s="6"/>
      <c r="AW11" s="6"/>
    </row>
    <row r="12" spans="2:49" s="1" customFormat="1" ht="11.25">
      <c r="B12" s="203" t="str">
        <f>names!$A1203</f>
        <v>Pozostałe przychody/koszty operacyjne netto</v>
      </c>
      <c r="C12" s="147">
        <v>1</v>
      </c>
      <c r="D12" s="147">
        <v>10</v>
      </c>
      <c r="E12" s="147">
        <v>-48</v>
      </c>
      <c r="F12" s="147">
        <v>-174</v>
      </c>
      <c r="G12" s="236">
        <v>-211</v>
      </c>
      <c r="H12" s="147">
        <v>185</v>
      </c>
      <c r="I12" s="147">
        <v>-4998</v>
      </c>
      <c r="J12" s="147">
        <v>11</v>
      </c>
      <c r="K12" s="147">
        <v>-59</v>
      </c>
      <c r="L12" s="236">
        <v>-4861</v>
      </c>
      <c r="M12" s="147">
        <v>21</v>
      </c>
      <c r="N12" s="147">
        <v>29</v>
      </c>
      <c r="O12" s="147">
        <v>-77</v>
      </c>
      <c r="P12" s="147">
        <v>-13</v>
      </c>
      <c r="Q12" s="236">
        <v>-40</v>
      </c>
      <c r="R12" s="147">
        <v>112</v>
      </c>
      <c r="S12" s="147">
        <v>654</v>
      </c>
      <c r="T12" s="147">
        <v>373</v>
      </c>
      <c r="U12" s="147">
        <v>501</v>
      </c>
      <c r="V12" s="236">
        <v>1640</v>
      </c>
      <c r="W12" s="147">
        <v>197</v>
      </c>
      <c r="X12" s="147">
        <v>566</v>
      </c>
      <c r="Y12" s="147">
        <v>86</v>
      </c>
      <c r="Z12" s="147">
        <v>5</v>
      </c>
      <c r="AA12" s="236">
        <v>854</v>
      </c>
      <c r="AB12" s="147">
        <v>105</v>
      </c>
      <c r="AC12" s="147">
        <v>400</v>
      </c>
      <c r="AD12" s="147">
        <v>35</v>
      </c>
      <c r="AE12" s="147">
        <v>787</v>
      </c>
      <c r="AF12" s="236">
        <v>1137</v>
      </c>
      <c r="AG12" s="147">
        <v>11</v>
      </c>
      <c r="AH12" s="147">
        <v>103</v>
      </c>
      <c r="AI12" s="147">
        <v>-102</v>
      </c>
      <c r="AJ12" s="147">
        <v>-323</v>
      </c>
      <c r="AK12" s="236">
        <v>-311</v>
      </c>
      <c r="AL12" s="147">
        <v>1173</v>
      </c>
      <c r="AM12" s="577"/>
      <c r="AN12" s="6"/>
      <c r="AO12" s="6"/>
      <c r="AP12" s="6"/>
      <c r="AQ12" s="6"/>
      <c r="AR12" s="6"/>
      <c r="AS12" s="6"/>
      <c r="AT12" s="6"/>
      <c r="AU12" s="6"/>
      <c r="AV12" s="6"/>
      <c r="AW12" s="6"/>
    </row>
    <row r="13" spans="2:49" s="1" customFormat="1" ht="11.25" customHeight="1">
      <c r="B13" s="94" t="str">
        <f>names!$A1204</f>
        <v xml:space="preserve">Strata/odwrócenie straty z tytułu utraty wartości instrumentów finansowych </v>
      </c>
      <c r="C13" s="133">
        <v>0</v>
      </c>
      <c r="D13" s="133">
        <v>0</v>
      </c>
      <c r="E13" s="133">
        <v>0</v>
      </c>
      <c r="F13" s="133">
        <v>0</v>
      </c>
      <c r="G13" s="230">
        <v>0</v>
      </c>
      <c r="H13" s="133">
        <v>0</v>
      </c>
      <c r="I13" s="133">
        <v>0</v>
      </c>
      <c r="J13" s="133">
        <v>0</v>
      </c>
      <c r="K13" s="133">
        <v>0</v>
      </c>
      <c r="L13" s="230">
        <v>0</v>
      </c>
      <c r="M13" s="133">
        <v>0</v>
      </c>
      <c r="N13" s="133">
        <v>0</v>
      </c>
      <c r="O13" s="133">
        <v>0</v>
      </c>
      <c r="P13" s="133">
        <v>0</v>
      </c>
      <c r="Q13" s="230">
        <v>0</v>
      </c>
      <c r="R13" s="133">
        <v>0</v>
      </c>
      <c r="S13" s="133">
        <v>0</v>
      </c>
      <c r="T13" s="133">
        <v>0</v>
      </c>
      <c r="U13" s="133">
        <v>0</v>
      </c>
      <c r="V13" s="230">
        <v>0</v>
      </c>
      <c r="W13" s="133">
        <v>0</v>
      </c>
      <c r="X13" s="133">
        <v>0</v>
      </c>
      <c r="Y13" s="133">
        <v>0</v>
      </c>
      <c r="Z13" s="133">
        <v>0</v>
      </c>
      <c r="AA13" s="230">
        <v>0</v>
      </c>
      <c r="AB13" s="133">
        <v>9</v>
      </c>
      <c r="AC13" s="133">
        <v>-3</v>
      </c>
      <c r="AD13" s="133">
        <v>6</v>
      </c>
      <c r="AE13" s="133">
        <v>-17</v>
      </c>
      <c r="AF13" s="230">
        <v>-5</v>
      </c>
      <c r="AG13" s="133">
        <v>0</v>
      </c>
      <c r="AH13" s="133">
        <v>-6</v>
      </c>
      <c r="AI13" s="133">
        <v>-3</v>
      </c>
      <c r="AJ13" s="133">
        <v>-1</v>
      </c>
      <c r="AK13" s="230">
        <v>-10</v>
      </c>
      <c r="AL13" s="133">
        <v>3</v>
      </c>
      <c r="AM13" s="577"/>
      <c r="AN13" s="6"/>
      <c r="AO13" s="6"/>
      <c r="AP13" s="6"/>
      <c r="AQ13" s="6"/>
      <c r="AR13" s="6"/>
      <c r="AS13" s="6"/>
      <c r="AT13" s="6"/>
      <c r="AU13" s="6"/>
      <c r="AV13" s="6"/>
      <c r="AW13" s="6"/>
    </row>
    <row r="14" spans="2:49" s="1" customFormat="1" ht="12" thickBot="1">
      <c r="B14" s="394" t="str">
        <f>names!$A1205</f>
        <v>Udział w wyniku finansowym jednostek wycenianych metodą praw własności</v>
      </c>
      <c r="C14" s="150">
        <v>10</v>
      </c>
      <c r="D14" s="150">
        <v>4</v>
      </c>
      <c r="E14" s="150">
        <v>20</v>
      </c>
      <c r="F14" s="150">
        <v>7</v>
      </c>
      <c r="G14" s="238">
        <v>41</v>
      </c>
      <c r="H14" s="150">
        <v>16</v>
      </c>
      <c r="I14" s="150">
        <v>21</v>
      </c>
      <c r="J14" s="150">
        <v>24</v>
      </c>
      <c r="K14" s="150">
        <v>-3</v>
      </c>
      <c r="L14" s="238">
        <v>58</v>
      </c>
      <c r="M14" s="150">
        <v>31</v>
      </c>
      <c r="N14" s="150">
        <v>73</v>
      </c>
      <c r="O14" s="150">
        <v>85</v>
      </c>
      <c r="P14" s="150">
        <v>64</v>
      </c>
      <c r="Q14" s="238">
        <v>253</v>
      </c>
      <c r="R14" s="150">
        <v>85</v>
      </c>
      <c r="S14" s="150">
        <v>99</v>
      </c>
      <c r="T14" s="150">
        <v>69</v>
      </c>
      <c r="U14" s="150">
        <v>45</v>
      </c>
      <c r="V14" s="238">
        <v>298</v>
      </c>
      <c r="W14" s="150">
        <v>69</v>
      </c>
      <c r="X14" s="150">
        <v>56</v>
      </c>
      <c r="Y14" s="150">
        <v>62</v>
      </c>
      <c r="Z14" s="150">
        <v>60</v>
      </c>
      <c r="AA14" s="238">
        <v>247</v>
      </c>
      <c r="AB14" s="150">
        <v>35</v>
      </c>
      <c r="AC14" s="150">
        <v>53</v>
      </c>
      <c r="AD14" s="150">
        <v>26</v>
      </c>
      <c r="AE14" s="150">
        <v>13</v>
      </c>
      <c r="AF14" s="238">
        <v>127</v>
      </c>
      <c r="AG14" s="150">
        <v>44</v>
      </c>
      <c r="AH14" s="150">
        <v>38</v>
      </c>
      <c r="AI14" s="150">
        <v>35</v>
      </c>
      <c r="AJ14" s="150">
        <v>19</v>
      </c>
      <c r="AK14" s="238">
        <v>136</v>
      </c>
      <c r="AL14" s="150">
        <v>12</v>
      </c>
      <c r="AM14" s="577"/>
      <c r="AN14" s="6"/>
      <c r="AO14" s="6"/>
      <c r="AP14" s="6"/>
      <c r="AQ14" s="6"/>
      <c r="AR14" s="6"/>
      <c r="AS14" s="6"/>
      <c r="AT14" s="6"/>
      <c r="AU14" s="6"/>
      <c r="AV14" s="6"/>
      <c r="AW14" s="6"/>
    </row>
    <row r="15" spans="2:49" s="1" customFormat="1" ht="23.25" thickBot="1">
      <c r="B15" s="58" t="str">
        <f>names!$A1206</f>
        <v>Zysk/(Strata) operacyjna wg LIFO powiększona o amortyzację 
(EBITDA LIFO) przed odpisami aktualizującymi</v>
      </c>
      <c r="C15" s="148">
        <v>932</v>
      </c>
      <c r="D15" s="148">
        <v>600</v>
      </c>
      <c r="E15" s="148">
        <v>419</v>
      </c>
      <c r="F15" s="148">
        <v>456</v>
      </c>
      <c r="G15" s="202">
        <v>2407</v>
      </c>
      <c r="H15" s="148">
        <v>833</v>
      </c>
      <c r="I15" s="148">
        <v>612</v>
      </c>
      <c r="J15" s="148">
        <v>1778</v>
      </c>
      <c r="K15" s="148">
        <v>987</v>
      </c>
      <c r="L15" s="202">
        <v>4210</v>
      </c>
      <c r="M15" s="148">
        <v>1753</v>
      </c>
      <c r="N15" s="148">
        <v>2712</v>
      </c>
      <c r="O15" s="148">
        <v>1655</v>
      </c>
      <c r="P15" s="148">
        <v>1656</v>
      </c>
      <c r="Q15" s="202">
        <v>7776</v>
      </c>
      <c r="R15" s="148">
        <v>1755</v>
      </c>
      <c r="S15" s="148">
        <v>2291</v>
      </c>
      <c r="T15" s="148">
        <v>1698</v>
      </c>
      <c r="U15" s="148">
        <v>2363</v>
      </c>
      <c r="V15" s="202">
        <v>8107</v>
      </c>
      <c r="W15" s="148">
        <v>2021</v>
      </c>
      <c r="X15" s="148">
        <v>2550</v>
      </c>
      <c r="Y15" s="148">
        <v>2513</v>
      </c>
      <c r="Z15" s="148">
        <v>1636</v>
      </c>
      <c r="AA15" s="202">
        <v>8720</v>
      </c>
      <c r="AB15" s="148">
        <v>1513</v>
      </c>
      <c r="AC15" s="148">
        <v>1580</v>
      </c>
      <c r="AD15" s="148">
        <v>1762</v>
      </c>
      <c r="AE15" s="148">
        <v>1366</v>
      </c>
      <c r="AF15" s="202">
        <v>6031</v>
      </c>
      <c r="AG15" s="148">
        <v>1449</v>
      </c>
      <c r="AH15" s="148">
        <v>1991</v>
      </c>
      <c r="AI15" s="148">
        <v>2402</v>
      </c>
      <c r="AJ15" s="148">
        <v>825</v>
      </c>
      <c r="AK15" s="202">
        <v>6667</v>
      </c>
      <c r="AL15" s="148">
        <v>901</v>
      </c>
      <c r="AM15" s="577"/>
      <c r="AN15" s="6"/>
      <c r="AO15" s="6"/>
      <c r="AP15" s="6"/>
      <c r="AQ15" s="6"/>
      <c r="AR15" s="6"/>
      <c r="AS15" s="6"/>
      <c r="AT15" s="6"/>
      <c r="AU15" s="6"/>
      <c r="AV15" s="6"/>
      <c r="AW15" s="6"/>
    </row>
    <row r="16" spans="2:49" s="56" customFormat="1" ht="23.25" thickBot="1">
      <c r="B16" s="59" t="str">
        <f>names!$A1207</f>
        <v>Zysk/(Strata) operacyjna wg LIFO powiększona o amortyzację 
(EBITDA LIFO)</v>
      </c>
      <c r="C16" s="146">
        <v>932</v>
      </c>
      <c r="D16" s="146">
        <v>600</v>
      </c>
      <c r="E16" s="146">
        <v>419</v>
      </c>
      <c r="F16" s="146">
        <v>456</v>
      </c>
      <c r="G16" s="235">
        <v>2407</v>
      </c>
      <c r="H16" s="146">
        <v>821</v>
      </c>
      <c r="I16" s="146">
        <v>-4380</v>
      </c>
      <c r="J16" s="146">
        <v>1766</v>
      </c>
      <c r="K16" s="146">
        <v>941</v>
      </c>
      <c r="L16" s="235">
        <v>-852</v>
      </c>
      <c r="M16" s="146">
        <v>1741</v>
      </c>
      <c r="N16" s="146">
        <v>2703</v>
      </c>
      <c r="O16" s="146">
        <v>1549</v>
      </c>
      <c r="P16" s="146">
        <v>1647</v>
      </c>
      <c r="Q16" s="235">
        <v>7640</v>
      </c>
      <c r="R16" s="146">
        <v>1749</v>
      </c>
      <c r="S16" s="146">
        <v>2288</v>
      </c>
      <c r="T16" s="146">
        <v>1693</v>
      </c>
      <c r="U16" s="146">
        <v>2595</v>
      </c>
      <c r="V16" s="235">
        <v>8325</v>
      </c>
      <c r="W16" s="146">
        <v>2020</v>
      </c>
      <c r="X16" s="146">
        <v>2551</v>
      </c>
      <c r="Y16" s="146">
        <v>2510</v>
      </c>
      <c r="Z16" s="146">
        <v>1620</v>
      </c>
      <c r="AA16" s="235">
        <v>8701</v>
      </c>
      <c r="AB16" s="146">
        <v>1511</v>
      </c>
      <c r="AC16" s="146">
        <v>1576</v>
      </c>
      <c r="AD16" s="146">
        <v>1760</v>
      </c>
      <c r="AE16" s="146">
        <v>2066</v>
      </c>
      <c r="AF16" s="235">
        <v>6723</v>
      </c>
      <c r="AG16" s="146">
        <v>1438</v>
      </c>
      <c r="AH16" s="146">
        <v>1985</v>
      </c>
      <c r="AI16" s="146">
        <v>2393</v>
      </c>
      <c r="AJ16" s="146">
        <v>794</v>
      </c>
      <c r="AK16" s="235">
        <v>6610</v>
      </c>
      <c r="AL16" s="146">
        <v>897</v>
      </c>
      <c r="AM16" s="577"/>
      <c r="AN16" s="6"/>
      <c r="AO16" s="6"/>
      <c r="AP16" s="6"/>
      <c r="AQ16" s="6"/>
      <c r="AR16" s="6"/>
      <c r="AS16" s="6"/>
      <c r="AT16" s="6"/>
      <c r="AU16" s="6"/>
      <c r="AV16" s="6"/>
      <c r="AW16" s="6"/>
    </row>
    <row r="17" spans="2:49" s="56" customFormat="1" ht="12" thickBot="1">
      <c r="B17" s="386" t="str">
        <f>names!$A1208</f>
        <v>Zysk/(Strata) operacyjna powiększona o amortyzację (EBITDA)</v>
      </c>
      <c r="C17" s="148">
        <v>879</v>
      </c>
      <c r="D17" s="148">
        <v>161</v>
      </c>
      <c r="E17" s="148">
        <v>781</v>
      </c>
      <c r="F17" s="148">
        <v>-82</v>
      </c>
      <c r="G17" s="202">
        <v>1739</v>
      </c>
      <c r="H17" s="148">
        <v>644</v>
      </c>
      <c r="I17" s="148">
        <v>-4527</v>
      </c>
      <c r="J17" s="148">
        <v>1110</v>
      </c>
      <c r="K17" s="148">
        <v>-652</v>
      </c>
      <c r="L17" s="202">
        <v>-3425</v>
      </c>
      <c r="M17" s="148">
        <v>1504</v>
      </c>
      <c r="N17" s="148">
        <v>2872</v>
      </c>
      <c r="O17" s="148">
        <v>1215</v>
      </c>
      <c r="P17" s="148">
        <v>539</v>
      </c>
      <c r="Q17" s="202">
        <v>6130</v>
      </c>
      <c r="R17" s="148">
        <v>812</v>
      </c>
      <c r="S17" s="148">
        <v>2697</v>
      </c>
      <c r="T17" s="148">
        <v>1780</v>
      </c>
      <c r="U17" s="148">
        <v>3121</v>
      </c>
      <c r="V17" s="202">
        <v>8410</v>
      </c>
      <c r="W17" s="148">
        <v>2539</v>
      </c>
      <c r="X17" s="148">
        <v>2207</v>
      </c>
      <c r="Y17" s="148">
        <v>2403</v>
      </c>
      <c r="Z17" s="148">
        <v>2351</v>
      </c>
      <c r="AA17" s="202">
        <v>9500</v>
      </c>
      <c r="AB17" s="148">
        <v>1655</v>
      </c>
      <c r="AC17" s="148">
        <v>2512</v>
      </c>
      <c r="AD17" s="148">
        <v>2339</v>
      </c>
      <c r="AE17" s="148">
        <v>1267</v>
      </c>
      <c r="AF17" s="202">
        <v>7583</v>
      </c>
      <c r="AG17" s="148">
        <v>1263</v>
      </c>
      <c r="AH17" s="148">
        <v>2202</v>
      </c>
      <c r="AI17" s="148">
        <v>1999</v>
      </c>
      <c r="AJ17" s="148">
        <v>1015</v>
      </c>
      <c r="AK17" s="202">
        <v>6479</v>
      </c>
      <c r="AL17" s="148">
        <v>-1175</v>
      </c>
      <c r="AM17" s="577"/>
      <c r="AN17" s="6"/>
      <c r="AO17" s="6"/>
      <c r="AP17" s="6"/>
      <c r="AQ17" s="6"/>
      <c r="AR17" s="6"/>
      <c r="AS17" s="6"/>
      <c r="AT17" s="6"/>
      <c r="AU17" s="6"/>
      <c r="AV17" s="6"/>
      <c r="AW17" s="6"/>
    </row>
    <row r="18" spans="2:49" s="1" customFormat="1" ht="23.25" customHeight="1" thickBot="1">
      <c r="B18" s="58" t="str">
        <f>names!$A1209</f>
        <v>Zysk/(Strata) operacyjna wg LIFO (EBIT LIFO) przed odpisami aktualizującymi</v>
      </c>
      <c r="C18" s="148">
        <v>524</v>
      </c>
      <c r="D18" s="148">
        <v>195</v>
      </c>
      <c r="E18" s="148">
        <v>16</v>
      </c>
      <c r="F18" s="148">
        <v>39</v>
      </c>
      <c r="G18" s="202">
        <v>774</v>
      </c>
      <c r="H18" s="148">
        <v>445</v>
      </c>
      <c r="I18" s="148">
        <v>219</v>
      </c>
      <c r="J18" s="148">
        <v>1468</v>
      </c>
      <c r="K18" s="148">
        <v>670</v>
      </c>
      <c r="L18" s="202">
        <v>2802</v>
      </c>
      <c r="M18" s="148">
        <v>1443</v>
      </c>
      <c r="N18" s="148">
        <v>2398</v>
      </c>
      <c r="O18" s="148">
        <v>1337</v>
      </c>
      <c r="P18" s="148">
        <v>1329</v>
      </c>
      <c r="Q18" s="202">
        <v>6507</v>
      </c>
      <c r="R18" s="148">
        <v>1431</v>
      </c>
      <c r="S18" s="148">
        <v>1979</v>
      </c>
      <c r="T18" s="148">
        <v>1370</v>
      </c>
      <c r="U18" s="148">
        <v>2010</v>
      </c>
      <c r="V18" s="202">
        <v>6790</v>
      </c>
      <c r="W18" s="148">
        <v>1660</v>
      </c>
      <c r="X18" s="148">
        <v>2176</v>
      </c>
      <c r="Y18" s="148">
        <v>2119</v>
      </c>
      <c r="Z18" s="148">
        <v>1197</v>
      </c>
      <c r="AA18" s="202">
        <v>7152</v>
      </c>
      <c r="AB18" s="148">
        <v>1101</v>
      </c>
      <c r="AC18" s="148">
        <v>1129</v>
      </c>
      <c r="AD18" s="148">
        <v>1310</v>
      </c>
      <c r="AE18" s="148">
        <v>890</v>
      </c>
      <c r="AF18" s="202">
        <v>4240</v>
      </c>
      <c r="AG18" s="148">
        <v>878</v>
      </c>
      <c r="AH18" s="148">
        <v>1402</v>
      </c>
      <c r="AI18" s="148">
        <v>1807</v>
      </c>
      <c r="AJ18" s="148">
        <v>200</v>
      </c>
      <c r="AK18" s="202">
        <v>4287</v>
      </c>
      <c r="AL18" s="148">
        <v>277</v>
      </c>
      <c r="AM18" s="577"/>
      <c r="AN18" s="6"/>
      <c r="AO18" s="6"/>
      <c r="AP18" s="6"/>
      <c r="AQ18" s="6"/>
      <c r="AR18" s="6"/>
      <c r="AS18" s="6"/>
      <c r="AT18" s="6"/>
      <c r="AU18" s="6"/>
      <c r="AV18" s="6"/>
      <c r="AW18" s="6"/>
    </row>
    <row r="19" spans="2:49" s="56" customFormat="1" ht="12" thickBot="1">
      <c r="B19" s="59" t="str">
        <f>names!$A1210</f>
        <v>Zysk/(Strata) operacyjna wg LIFO (EBIT LIFO)</v>
      </c>
      <c r="C19" s="146">
        <v>524</v>
      </c>
      <c r="D19" s="146">
        <v>195</v>
      </c>
      <c r="E19" s="146">
        <v>16</v>
      </c>
      <c r="F19" s="146">
        <v>39</v>
      </c>
      <c r="G19" s="235">
        <v>774</v>
      </c>
      <c r="H19" s="146">
        <v>433</v>
      </c>
      <c r="I19" s="146">
        <v>-4773</v>
      </c>
      <c r="J19" s="146">
        <v>1456</v>
      </c>
      <c r="K19" s="146">
        <v>624</v>
      </c>
      <c r="L19" s="235">
        <v>-2260</v>
      </c>
      <c r="M19" s="146">
        <v>1431</v>
      </c>
      <c r="N19" s="146">
        <v>2389</v>
      </c>
      <c r="O19" s="146">
        <v>1231</v>
      </c>
      <c r="P19" s="146">
        <v>1320</v>
      </c>
      <c r="Q19" s="235">
        <v>6371</v>
      </c>
      <c r="R19" s="146">
        <v>1425</v>
      </c>
      <c r="S19" s="146">
        <v>1976</v>
      </c>
      <c r="T19" s="146">
        <v>1365</v>
      </c>
      <c r="U19" s="146">
        <v>2242</v>
      </c>
      <c r="V19" s="235">
        <v>7008</v>
      </c>
      <c r="W19" s="146">
        <v>1659</v>
      </c>
      <c r="X19" s="146">
        <v>2177</v>
      </c>
      <c r="Y19" s="146">
        <v>2116</v>
      </c>
      <c r="Z19" s="146">
        <v>1181</v>
      </c>
      <c r="AA19" s="235">
        <v>7133</v>
      </c>
      <c r="AB19" s="146">
        <v>1099</v>
      </c>
      <c r="AC19" s="146">
        <v>1125</v>
      </c>
      <c r="AD19" s="146">
        <v>1308</v>
      </c>
      <c r="AE19" s="146">
        <v>1590</v>
      </c>
      <c r="AF19" s="235">
        <v>4932</v>
      </c>
      <c r="AG19" s="146">
        <v>867</v>
      </c>
      <c r="AH19" s="146">
        <v>1396</v>
      </c>
      <c r="AI19" s="146">
        <v>1798</v>
      </c>
      <c r="AJ19" s="146">
        <v>169</v>
      </c>
      <c r="AK19" s="235">
        <v>4230</v>
      </c>
      <c r="AL19" s="146">
        <v>273</v>
      </c>
      <c r="AM19" s="577"/>
      <c r="AN19" s="6"/>
      <c r="AO19" s="6"/>
      <c r="AP19" s="6"/>
      <c r="AQ19" s="6"/>
      <c r="AR19" s="6"/>
      <c r="AS19" s="6"/>
      <c r="AT19" s="6"/>
      <c r="AU19" s="6"/>
      <c r="AV19" s="6"/>
      <c r="AW19" s="6"/>
    </row>
    <row r="20" spans="2:49" s="56" customFormat="1" ht="12" thickBot="1">
      <c r="B20" s="58" t="str">
        <f>names!$A1211</f>
        <v>Zysk/(Strata) operacyjna (EBIT)</v>
      </c>
      <c r="C20" s="148">
        <v>471</v>
      </c>
      <c r="D20" s="148">
        <v>-244</v>
      </c>
      <c r="E20" s="148">
        <v>378</v>
      </c>
      <c r="F20" s="148">
        <v>-499</v>
      </c>
      <c r="G20" s="202">
        <v>106</v>
      </c>
      <c r="H20" s="148">
        <v>256</v>
      </c>
      <c r="I20" s="148">
        <v>-4920</v>
      </c>
      <c r="J20" s="148">
        <v>800</v>
      </c>
      <c r="K20" s="148">
        <v>-969</v>
      </c>
      <c r="L20" s="202">
        <v>-4833</v>
      </c>
      <c r="M20" s="148">
        <v>1194</v>
      </c>
      <c r="N20" s="148">
        <v>2558</v>
      </c>
      <c r="O20" s="148">
        <v>897</v>
      </c>
      <c r="P20" s="148">
        <v>212</v>
      </c>
      <c r="Q20" s="202">
        <v>4861</v>
      </c>
      <c r="R20" s="148">
        <v>488</v>
      </c>
      <c r="S20" s="148">
        <v>2385</v>
      </c>
      <c r="T20" s="148">
        <v>1452</v>
      </c>
      <c r="U20" s="148">
        <v>2768</v>
      </c>
      <c r="V20" s="202">
        <v>7093</v>
      </c>
      <c r="W20" s="148">
        <v>2178</v>
      </c>
      <c r="X20" s="148">
        <v>1833</v>
      </c>
      <c r="Y20" s="148">
        <v>2009</v>
      </c>
      <c r="Z20" s="148">
        <v>1912</v>
      </c>
      <c r="AA20" s="202">
        <v>7932</v>
      </c>
      <c r="AB20" s="148">
        <v>1243</v>
      </c>
      <c r="AC20" s="148">
        <v>2061</v>
      </c>
      <c r="AD20" s="148">
        <v>1887</v>
      </c>
      <c r="AE20" s="148">
        <v>791</v>
      </c>
      <c r="AF20" s="202">
        <v>5792</v>
      </c>
      <c r="AG20" s="148">
        <v>692</v>
      </c>
      <c r="AH20" s="148">
        <v>1613</v>
      </c>
      <c r="AI20" s="148">
        <v>1404</v>
      </c>
      <c r="AJ20" s="148">
        <v>390</v>
      </c>
      <c r="AK20" s="202">
        <v>4099</v>
      </c>
      <c r="AL20" s="148">
        <v>-1799</v>
      </c>
      <c r="AM20" s="577"/>
      <c r="AN20" s="6"/>
      <c r="AO20" s="6"/>
      <c r="AP20" s="6"/>
      <c r="AQ20" s="6"/>
      <c r="AR20" s="6"/>
      <c r="AS20" s="6"/>
      <c r="AT20" s="6"/>
      <c r="AU20" s="6"/>
      <c r="AV20" s="6"/>
      <c r="AW20" s="6"/>
    </row>
    <row r="21" spans="2:49" s="1" customFormat="1" ht="11.25">
      <c r="B21" s="51" t="str">
        <f>names!$A1212</f>
        <v>Zwiększenie aktywów trwałych ***</v>
      </c>
      <c r="C21" s="151">
        <v>196</v>
      </c>
      <c r="D21" s="151">
        <v>338</v>
      </c>
      <c r="E21" s="151">
        <v>457</v>
      </c>
      <c r="F21" s="151">
        <v>605</v>
      </c>
      <c r="G21" s="239">
        <v>1596</v>
      </c>
      <c r="H21" s="151">
        <v>475</v>
      </c>
      <c r="I21" s="151">
        <v>1105</v>
      </c>
      <c r="J21" s="151">
        <v>597</v>
      </c>
      <c r="K21" s="151">
        <v>537</v>
      </c>
      <c r="L21" s="239">
        <v>2714</v>
      </c>
      <c r="M21" s="151">
        <v>401</v>
      </c>
      <c r="N21" s="151">
        <v>453</v>
      </c>
      <c r="O21" s="151">
        <v>448</v>
      </c>
      <c r="P21" s="151">
        <v>940</v>
      </c>
      <c r="Q21" s="239">
        <v>2242</v>
      </c>
      <c r="R21" s="151">
        <v>784</v>
      </c>
      <c r="S21" s="151">
        <v>957</v>
      </c>
      <c r="T21" s="151">
        <v>997</v>
      </c>
      <c r="U21" s="151">
        <v>795</v>
      </c>
      <c r="V21" s="239">
        <v>3533</v>
      </c>
      <c r="W21" s="151">
        <v>446</v>
      </c>
      <c r="X21" s="151">
        <v>678</v>
      </c>
      <c r="Y21" s="151">
        <v>675</v>
      </c>
      <c r="Z21" s="151">
        <v>1126</v>
      </c>
      <c r="AA21" s="239">
        <v>2925</v>
      </c>
      <c r="AB21" s="151">
        <v>400</v>
      </c>
      <c r="AC21" s="151">
        <v>715</v>
      </c>
      <c r="AD21" s="151">
        <v>626</v>
      </c>
      <c r="AE21" s="151">
        <v>900</v>
      </c>
      <c r="AF21" s="239">
        <v>2451</v>
      </c>
      <c r="AG21" s="151">
        <v>394</v>
      </c>
      <c r="AH21" s="151">
        <v>624</v>
      </c>
      <c r="AI21" s="151">
        <v>673</v>
      </c>
      <c r="AJ21" s="151">
        <v>1298</v>
      </c>
      <c r="AK21" s="239">
        <v>2989</v>
      </c>
      <c r="AL21" s="151">
        <v>765</v>
      </c>
      <c r="AM21" s="577"/>
      <c r="AR21" s="6"/>
      <c r="AS21" s="6"/>
      <c r="AT21" s="6"/>
      <c r="AU21" s="6"/>
      <c r="AV21" s="6"/>
      <c r="AW21" s="6"/>
    </row>
    <row r="22" spans="2:49" s="56" customFormat="1" ht="11.25">
      <c r="B22" s="94" t="str">
        <f>names!$A1213</f>
        <v>Sprzedaż produktów (tys. ton)</v>
      </c>
      <c r="C22" s="133">
        <v>6937</v>
      </c>
      <c r="D22" s="133">
        <v>6766</v>
      </c>
      <c r="E22" s="133">
        <v>7472</v>
      </c>
      <c r="F22" s="133">
        <v>7201</v>
      </c>
      <c r="G22" s="230">
        <v>28376</v>
      </c>
      <c r="H22" s="133">
        <v>6152</v>
      </c>
      <c r="I22" s="133">
        <v>6642</v>
      </c>
      <c r="J22" s="133">
        <v>7616</v>
      </c>
      <c r="K22" s="133">
        <v>7296</v>
      </c>
      <c r="L22" s="230">
        <v>27706</v>
      </c>
      <c r="M22" s="133">
        <v>6756</v>
      </c>
      <c r="N22" s="133">
        <v>7855</v>
      </c>
      <c r="O22" s="133">
        <f>'Sprzedaż ''13-''19'!O7</f>
        <v>8090</v>
      </c>
      <c r="P22" s="133">
        <f>'Sprzedaż ''13-''19'!P7</f>
        <v>7679</v>
      </c>
      <c r="Q22" s="230">
        <f>'Sprzedaż ''13-''19'!Q7</f>
        <v>30380</v>
      </c>
      <c r="R22" s="133">
        <f>'Sprzedaż ''13-''19'!R7</f>
        <v>7263</v>
      </c>
      <c r="S22" s="133">
        <f>'Sprzedaż ''13-''19'!S7</f>
        <v>7203</v>
      </c>
      <c r="T22" s="133">
        <f>'Sprzedaż ''13-''19'!T7</f>
        <v>8063</v>
      </c>
      <c r="U22" s="133">
        <f>'Sprzedaż ''13-''19'!U7</f>
        <v>8179</v>
      </c>
      <c r="V22" s="230">
        <f>'Sprzedaż ''13-''19'!V7</f>
        <v>30708</v>
      </c>
      <c r="W22" s="133">
        <f>'Sprzedaż ''13-''19'!W7</f>
        <v>7583</v>
      </c>
      <c r="X22" s="133">
        <f>'Sprzedaż ''13-''19'!X7</f>
        <v>7906</v>
      </c>
      <c r="Y22" s="133">
        <f>'Sprzedaż ''13-''19'!Y7</f>
        <v>8946</v>
      </c>
      <c r="Z22" s="133">
        <f>'Sprzedaż ''13-''19'!Z7</f>
        <v>8490</v>
      </c>
      <c r="AA22" s="230">
        <f>'Sprzedaż ''13-''19'!AA7</f>
        <v>32925</v>
      </c>
      <c r="AB22" s="133">
        <f>'Sprzedaż ''13-''19'!AB7</f>
        <v>7729</v>
      </c>
      <c r="AC22" s="133">
        <f>'Sprzedaż ''13-''19'!AC7</f>
        <v>7955</v>
      </c>
      <c r="AD22" s="133">
        <f>'Sprzedaż ''13-''19'!AD7</f>
        <v>8479</v>
      </c>
      <c r="AE22" s="133">
        <f>'Sprzedaż ''13-''19'!AE7</f>
        <v>8553</v>
      </c>
      <c r="AF22" s="230">
        <f>'Sprzedaż ''13-''19'!AF7</f>
        <v>32716</v>
      </c>
      <c r="AG22" s="133">
        <f>'Sprzedaż ''13-''19'!AG7</f>
        <v>7801</v>
      </c>
      <c r="AH22" s="133">
        <f>'Sprzedaż ''13-''19'!AH7</f>
        <v>8109</v>
      </c>
      <c r="AI22" s="133">
        <f>'Sprzedaż ''13-''19'!AI7</f>
        <v>8631</v>
      </c>
      <c r="AJ22" s="133">
        <f>'Sprzedaż ''13-''19'!AJ7</f>
        <v>8199</v>
      </c>
      <c r="AK22" s="230">
        <f>'Sprzedaż ''13-''19'!AK7</f>
        <v>32740</v>
      </c>
      <c r="AL22" s="133">
        <f>'Sprzedaż ''13-''19'!AL7</f>
        <v>6999</v>
      </c>
      <c r="AM22" s="577"/>
      <c r="AR22" s="6"/>
      <c r="AS22" s="6"/>
      <c r="AT22" s="6"/>
      <c r="AU22" s="6"/>
      <c r="AV22" s="6"/>
      <c r="AW22" s="6"/>
    </row>
    <row r="23" spans="2:49" ht="22.5" customHeight="1">
      <c r="B23" s="1003" t="str">
        <f>names!$A1214</f>
        <v>*) Dane przekształcone – zmiana metody konsolidacji spółek Basell ORLEN Polyolefines Sp. z o.o. i Płocki Park Przemysłowo-Technologiczny S.A. zgodnie z MSSF 11.</v>
      </c>
      <c r="C23" s="987"/>
      <c r="D23" s="987"/>
      <c r="E23" s="987"/>
      <c r="F23" s="987"/>
      <c r="G23" s="987"/>
      <c r="H23" s="987"/>
      <c r="I23" s="987"/>
      <c r="J23" s="987"/>
      <c r="K23" s="987"/>
      <c r="L23" s="987"/>
      <c r="M23" s="987"/>
      <c r="N23" s="987"/>
      <c r="O23" s="987"/>
      <c r="P23" s="987"/>
      <c r="Q23" s="987"/>
      <c r="R23" s="987"/>
      <c r="S23" s="987"/>
      <c r="T23" s="987"/>
      <c r="U23" s="987"/>
      <c r="V23" s="987"/>
      <c r="W23" s="987"/>
      <c r="X23" s="987"/>
      <c r="Y23" s="987"/>
      <c r="Z23" s="987"/>
      <c r="AA23" s="987"/>
      <c r="AB23" s="987"/>
      <c r="AC23" s="987"/>
      <c r="AD23" s="987"/>
      <c r="AE23" s="987"/>
      <c r="AF23" s="987"/>
      <c r="AG23" s="987"/>
      <c r="AH23" s="987"/>
      <c r="AI23" s="987"/>
      <c r="AJ23" s="987"/>
      <c r="AK23" s="987"/>
      <c r="AL23" s="852"/>
      <c r="AM23" s="577"/>
    </row>
    <row r="24" spans="2:49" ht="24" customHeight="1">
      <c r="B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C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D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E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F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G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H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I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J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K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L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M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N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O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P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Q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R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S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T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U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V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W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X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Y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Z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A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B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C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D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E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F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G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H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I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J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K24" s="1003" t="str">
        <f>names!$A1215</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AM24" s="577"/>
    </row>
    <row r="25" spans="2:49" ht="23.25" customHeight="1">
      <c r="B25" s="1003" t="str">
        <f>names!$A1216</f>
        <v>***) Zgodnie z MSSF 16 Leasing w pozycji zwiększenie aktywów trwałych ujęto wartość praw do użytkowania - w celu zachowania spójności zaktualizowano również dane za I kwartał 2019.</v>
      </c>
      <c r="C25" s="987"/>
      <c r="D25" s="987"/>
      <c r="E25" s="987"/>
      <c r="F25" s="987"/>
      <c r="G25" s="987"/>
      <c r="H25" s="987"/>
      <c r="I25" s="987"/>
      <c r="J25" s="987"/>
      <c r="K25" s="987"/>
      <c r="L25" s="987"/>
      <c r="M25" s="987"/>
      <c r="N25" s="987"/>
      <c r="O25" s="987"/>
      <c r="P25" s="987"/>
      <c r="Q25" s="987"/>
      <c r="R25" s="987"/>
      <c r="S25" s="987"/>
      <c r="T25" s="987"/>
      <c r="U25" s="987"/>
      <c r="V25" s="987"/>
      <c r="W25" s="987"/>
      <c r="X25" s="987"/>
      <c r="Y25" s="987"/>
      <c r="Z25" s="987"/>
      <c r="AA25" s="987"/>
      <c r="AB25" s="987"/>
      <c r="AC25" s="987"/>
      <c r="AD25" s="987"/>
      <c r="AE25" s="987"/>
      <c r="AF25" s="987"/>
      <c r="AG25" s="987"/>
      <c r="AH25" s="987"/>
      <c r="AI25" s="987"/>
      <c r="AJ25" s="987"/>
      <c r="AK25" s="987"/>
      <c r="AM25" s="577"/>
    </row>
    <row r="26" spans="2:49">
      <c r="AI26" s="370"/>
      <c r="AJ26" s="370"/>
      <c r="AK26" s="370"/>
    </row>
    <row r="27" spans="2:49">
      <c r="B27" s="577"/>
      <c r="C27" s="577"/>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row>
    <row r="28" spans="2:49">
      <c r="B28" s="768"/>
      <c r="AG28" s="370"/>
      <c r="AL28" s="370"/>
    </row>
  </sheetData>
  <mergeCells count="3">
    <mergeCell ref="B24:AK24"/>
    <mergeCell ref="B25:AK25"/>
    <mergeCell ref="B23:AK23"/>
  </mergeCells>
  <conditionalFormatting sqref="B27:AL27">
    <cfRule type="cellIs" dxfId="57" priority="2" operator="equal">
      <formula>FALSE</formula>
    </cfRule>
  </conditionalFormatting>
  <conditionalFormatting sqref="AM2:AM25">
    <cfRule type="cellIs" dxfId="56"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34998626667073579"/>
    <pageSetUpPr fitToPage="1"/>
  </sheetPr>
  <dimension ref="B2:AH31"/>
  <sheetViews>
    <sheetView showGridLines="0" view="pageBreakPreview" zoomScaleNormal="100" zoomScaleSheetLayoutView="100" workbookViewId="0">
      <pane xSplit="2" ySplit="4" topLeftCell="G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66.7109375" style="16" customWidth="1"/>
    <col min="3" max="3" width="10.5703125" hidden="1" customWidth="1" outlineLevel="1"/>
    <col min="4" max="6" width="9.28515625" hidden="1" customWidth="1" outlineLevel="1"/>
    <col min="7" max="7" width="9.28515625" bestFit="1" customWidth="1" collapsed="1"/>
    <col min="8" max="11" width="9.28515625" hidden="1" customWidth="1" outlineLevel="1"/>
    <col min="12" max="12" width="8" customWidth="1" collapsed="1"/>
    <col min="13" max="14" width="7.42578125" hidden="1" customWidth="1" outlineLevel="1"/>
    <col min="15" max="16" width="9.28515625" hidden="1" customWidth="1" outlineLevel="1"/>
    <col min="17" max="17" width="9.28515625" customWidth="1" collapsed="1"/>
    <col min="18" max="21" width="8.42578125" hidden="1" customWidth="1" outlineLevel="1"/>
    <col min="22" max="22" width="8.42578125" customWidth="1" collapsed="1"/>
    <col min="23" max="26" width="8.42578125" hidden="1" customWidth="1" outlineLevel="1"/>
    <col min="27" max="27" width="8.42578125" customWidth="1" collapsed="1"/>
    <col min="28" max="31" width="8.42578125" hidden="1" customWidth="1" outlineLevel="1"/>
    <col min="32" max="32" width="8.42578125" customWidth="1" collapsed="1"/>
  </cols>
  <sheetData>
    <row r="2" spans="2:34" ht="15.75">
      <c r="B2" s="397" t="str">
        <f>names!A453</f>
        <v>Segment Rafineria</v>
      </c>
      <c r="AG2" s="577"/>
    </row>
    <row r="3" spans="2:34" ht="10.15" customHeight="1">
      <c r="AG3" s="577"/>
    </row>
    <row r="4" spans="2:34" s="24" customFormat="1" ht="37.5" customHeight="1">
      <c r="B4" s="15" t="str">
        <f>names!A455</f>
        <v>Wyszczególnienie, 
mln PLN</v>
      </c>
      <c r="C4" s="15" t="str">
        <f>names!$A392</f>
        <v>I kw.
2019*</v>
      </c>
      <c r="D4" s="15" t="str">
        <f>names!$A394</f>
        <v>II kw.
2019*</v>
      </c>
      <c r="E4" s="15" t="str">
        <f>names!$A396</f>
        <v>III kw.
2019*</v>
      </c>
      <c r="F4" s="15" t="str">
        <f>names!$A398</f>
        <v>IV kw.
2019*</v>
      </c>
      <c r="G4" s="15" t="str">
        <f>names!$A400</f>
        <v>12 m-cy
2019*</v>
      </c>
      <c r="H4" s="15" t="str">
        <f>names!$A402</f>
        <v>I kw.
2020*</v>
      </c>
      <c r="I4" s="15" t="str">
        <f>names!$A404</f>
        <v>II kw.
2020</v>
      </c>
      <c r="J4" s="15" t="str">
        <f>names!$A406</f>
        <v>III kw.
2020</v>
      </c>
      <c r="K4" s="15" t="str">
        <f>names!$A408</f>
        <v>IV kw.
2020</v>
      </c>
      <c r="L4" s="15" t="str">
        <f>names!$A153</f>
        <v>12 m-cy 2020</v>
      </c>
      <c r="M4" s="15" t="str">
        <f>names!A476</f>
        <v>I kw.
2021*</v>
      </c>
      <c r="N4" s="15" t="str">
        <f>names!A477</f>
        <v>II kw.
2021*</v>
      </c>
      <c r="O4" s="15" t="str">
        <f>names!$A156</f>
        <v>III kw. 
2021</v>
      </c>
      <c r="P4" s="15" t="str">
        <f>names!$A157</f>
        <v>IV kw. 
2021</v>
      </c>
      <c r="Q4" s="15" t="str">
        <f>names!A158</f>
        <v>12 m-cy 2021</v>
      </c>
      <c r="R4" s="15" t="str">
        <f>names!$A159</f>
        <v>I kw. 
2022</v>
      </c>
      <c r="S4" s="15" t="str">
        <f>names!$A160</f>
        <v>II kw. 
2022</v>
      </c>
      <c r="T4" s="15" t="str">
        <f>names!$A161</f>
        <v>III kw. 
2022</v>
      </c>
      <c r="U4" s="15" t="str">
        <f>names!$A162</f>
        <v>IV kw. 
2022</v>
      </c>
      <c r="V4" s="15" t="str">
        <f>names!$A163</f>
        <v>12 m-cy 2022</v>
      </c>
      <c r="W4" s="15" t="str">
        <f>names!$A164</f>
        <v>I kw. 
2023</v>
      </c>
      <c r="X4" s="15" t="str">
        <f>names!$A165</f>
        <v>II kw. 
2023</v>
      </c>
      <c r="Y4" s="15" t="str">
        <f>names!$A166</f>
        <v>III kw. 
2023</v>
      </c>
      <c r="Z4" s="15" t="str">
        <f>names!$A167</f>
        <v>IV kw. 
2023</v>
      </c>
      <c r="AA4" s="15" t="str">
        <f>names!$A168</f>
        <v>12 m-cy 2023</v>
      </c>
      <c r="AB4" s="15" t="str">
        <f>names!$A169</f>
        <v>I kw. 
2024</v>
      </c>
      <c r="AC4" s="15" t="str">
        <f>names!$A170</f>
        <v>II kw. 
2024</v>
      </c>
      <c r="AD4" s="15" t="str">
        <f>names!$A171</f>
        <v>III kw. 
2024</v>
      </c>
      <c r="AE4" s="15" t="str">
        <f>names!$A172</f>
        <v>IV kw. 
2024</v>
      </c>
      <c r="AF4" s="15" t="str">
        <f>names!$A173</f>
        <v>12 m-cy 2024</v>
      </c>
      <c r="AG4" s="577"/>
    </row>
    <row r="5" spans="2:34"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577"/>
    </row>
    <row r="6" spans="2:34" s="1" customFormat="1" ht="11.25">
      <c r="B6" s="59" t="str">
        <f>names!A457</f>
        <v>Przychody ze sprzedaży</v>
      </c>
      <c r="C6" s="146">
        <f>C7+C8</f>
        <v>19318</v>
      </c>
      <c r="D6" s="146">
        <f>D7+D8</f>
        <v>22476</v>
      </c>
      <c r="E6" s="146">
        <f>E7+E8</f>
        <v>22197</v>
      </c>
      <c r="F6" s="146">
        <f>F7+F8</f>
        <v>21525</v>
      </c>
      <c r="G6" s="235">
        <f>G7+G8</f>
        <v>85516</v>
      </c>
      <c r="H6" s="146">
        <v>15051</v>
      </c>
      <c r="I6" s="146">
        <v>9472</v>
      </c>
      <c r="J6" s="146">
        <v>14105</v>
      </c>
      <c r="K6" s="146">
        <v>13382</v>
      </c>
      <c r="L6" s="235">
        <v>52010</v>
      </c>
      <c r="M6" s="146">
        <v>14569</v>
      </c>
      <c r="N6" s="146">
        <v>18083</v>
      </c>
      <c r="O6" s="146">
        <v>24231</v>
      </c>
      <c r="P6" s="146">
        <v>28661</v>
      </c>
      <c r="Q6" s="235">
        <v>85544</v>
      </c>
      <c r="R6" s="146">
        <v>31115</v>
      </c>
      <c r="S6" s="146">
        <v>42282</v>
      </c>
      <c r="T6" s="146">
        <v>56247</v>
      </c>
      <c r="U6" s="146">
        <v>57784</v>
      </c>
      <c r="V6" s="235">
        <v>187428</v>
      </c>
      <c r="W6" s="146">
        <v>39342</v>
      </c>
      <c r="X6" s="146">
        <v>35996</v>
      </c>
      <c r="Y6" s="146">
        <v>41257</v>
      </c>
      <c r="Z6" s="146">
        <v>39505</v>
      </c>
      <c r="AA6" s="235">
        <v>156100</v>
      </c>
      <c r="AB6" s="146">
        <v>33212</v>
      </c>
      <c r="AC6" s="146">
        <v>35623</v>
      </c>
      <c r="AD6" s="146">
        <v>37403</v>
      </c>
      <c r="AE6" s="146">
        <v>29765</v>
      </c>
      <c r="AF6" s="146">
        <v>136003</v>
      </c>
      <c r="AG6" s="577"/>
      <c r="AH6" s="467"/>
    </row>
    <row r="7" spans="2:34" s="1" customFormat="1" ht="11.25">
      <c r="B7" s="95" t="str">
        <f>names!A458</f>
        <v>Sprzedaż zewnętrzna</v>
      </c>
      <c r="C7" s="147">
        <v>12633</v>
      </c>
      <c r="D7" s="147">
        <v>14859</v>
      </c>
      <c r="E7" s="147">
        <v>14840</v>
      </c>
      <c r="F7" s="147">
        <v>14185</v>
      </c>
      <c r="G7" s="236">
        <v>56517</v>
      </c>
      <c r="H7" s="147">
        <v>9709</v>
      </c>
      <c r="I7" s="147">
        <v>6276</v>
      </c>
      <c r="J7" s="147">
        <v>9163</v>
      </c>
      <c r="K7" s="147">
        <v>8942</v>
      </c>
      <c r="L7" s="236">
        <v>34090</v>
      </c>
      <c r="M7" s="147">
        <v>9365</v>
      </c>
      <c r="N7" s="147">
        <v>12493</v>
      </c>
      <c r="O7" s="147">
        <v>16156</v>
      </c>
      <c r="P7" s="147">
        <v>18953</v>
      </c>
      <c r="Q7" s="236">
        <v>56967</v>
      </c>
      <c r="R7" s="147">
        <v>19780</v>
      </c>
      <c r="S7" s="147">
        <v>27080</v>
      </c>
      <c r="T7" s="147">
        <v>40949</v>
      </c>
      <c r="U7" s="147">
        <v>43668</v>
      </c>
      <c r="V7" s="236">
        <v>131477</v>
      </c>
      <c r="W7" s="147">
        <v>27827</v>
      </c>
      <c r="X7" s="147">
        <v>25463</v>
      </c>
      <c r="Y7" s="147">
        <v>29375</v>
      </c>
      <c r="Z7" s="147">
        <v>28726</v>
      </c>
      <c r="AA7" s="236">
        <v>111391</v>
      </c>
      <c r="AB7" s="147">
        <v>22751</v>
      </c>
      <c r="AC7" s="147">
        <v>24726</v>
      </c>
      <c r="AD7" s="147">
        <v>24581</v>
      </c>
      <c r="AE7" s="147">
        <v>22440</v>
      </c>
      <c r="AF7" s="147">
        <v>94498</v>
      </c>
      <c r="AG7" s="577"/>
      <c r="AH7" s="467"/>
    </row>
    <row r="8" spans="2:34" s="1" customFormat="1" ht="11.25">
      <c r="B8" s="25" t="str">
        <f>names!A459</f>
        <v>Sprzedaż między segmentami</v>
      </c>
      <c r="C8" s="131">
        <v>6685</v>
      </c>
      <c r="D8" s="131">
        <v>7617</v>
      </c>
      <c r="E8" s="131">
        <v>7357</v>
      </c>
      <c r="F8" s="131">
        <v>7340</v>
      </c>
      <c r="G8" s="229">
        <v>28999</v>
      </c>
      <c r="H8" s="131">
        <v>5342</v>
      </c>
      <c r="I8" s="131">
        <v>3196</v>
      </c>
      <c r="J8" s="131">
        <v>4942</v>
      </c>
      <c r="K8" s="131">
        <v>4440</v>
      </c>
      <c r="L8" s="229">
        <v>17920</v>
      </c>
      <c r="M8" s="131">
        <v>5204</v>
      </c>
      <c r="N8" s="131">
        <v>5590</v>
      </c>
      <c r="O8" s="131">
        <v>8075</v>
      </c>
      <c r="P8" s="131">
        <v>9708</v>
      </c>
      <c r="Q8" s="229">
        <v>28577</v>
      </c>
      <c r="R8" s="131">
        <v>11335</v>
      </c>
      <c r="S8" s="131">
        <v>15202</v>
      </c>
      <c r="T8" s="131">
        <v>15298</v>
      </c>
      <c r="U8" s="131">
        <v>14116</v>
      </c>
      <c r="V8" s="229">
        <v>55951</v>
      </c>
      <c r="W8" s="131">
        <v>11515</v>
      </c>
      <c r="X8" s="131">
        <v>10533</v>
      </c>
      <c r="Y8" s="131">
        <v>11882</v>
      </c>
      <c r="Z8" s="131">
        <v>10779</v>
      </c>
      <c r="AA8" s="229">
        <v>44709</v>
      </c>
      <c r="AB8" s="131">
        <v>10461</v>
      </c>
      <c r="AC8" s="131">
        <v>10897</v>
      </c>
      <c r="AD8" s="131">
        <v>12822</v>
      </c>
      <c r="AE8" s="131">
        <v>7325</v>
      </c>
      <c r="AF8" s="131">
        <v>41505</v>
      </c>
      <c r="AG8" s="577"/>
      <c r="AH8" s="467"/>
    </row>
    <row r="9" spans="2:34" s="1" customFormat="1" ht="11.25">
      <c r="B9" s="89" t="str">
        <f>names!A460</f>
        <v>Koszty operacyjne ogółem</v>
      </c>
      <c r="C9" s="145">
        <v>-19271</v>
      </c>
      <c r="D9" s="145">
        <v>-21753</v>
      </c>
      <c r="E9" s="145">
        <v>-21536</v>
      </c>
      <c r="F9" s="145">
        <v>-21081</v>
      </c>
      <c r="G9" s="237">
        <v>-83641</v>
      </c>
      <c r="H9" s="145">
        <v>-18755</v>
      </c>
      <c r="I9" s="145">
        <v>-9380</v>
      </c>
      <c r="J9" s="145">
        <v>-14472</v>
      </c>
      <c r="K9" s="145">
        <v>-13621</v>
      </c>
      <c r="L9" s="237">
        <v>-56228</v>
      </c>
      <c r="M9" s="145">
        <v>-13677</v>
      </c>
      <c r="N9" s="145">
        <v>-17143</v>
      </c>
      <c r="O9" s="145">
        <v>-22498</v>
      </c>
      <c r="P9" s="145">
        <v>-26214</v>
      </c>
      <c r="Q9" s="237">
        <v>-79532</v>
      </c>
      <c r="R9" s="145">
        <v>-26715</v>
      </c>
      <c r="S9" s="145">
        <v>-34552</v>
      </c>
      <c r="T9" s="145">
        <v>-50291</v>
      </c>
      <c r="U9" s="145">
        <v>-49531</v>
      </c>
      <c r="V9" s="237">
        <v>-161089</v>
      </c>
      <c r="W9" s="145">
        <v>-35712</v>
      </c>
      <c r="X9" s="145">
        <v>-34222</v>
      </c>
      <c r="Y9" s="145">
        <v>-38477</v>
      </c>
      <c r="Z9" s="145">
        <v>-39758</v>
      </c>
      <c r="AA9" s="237">
        <v>-148169</v>
      </c>
      <c r="AB9" s="145">
        <v>-31276</v>
      </c>
      <c r="AC9" s="145">
        <v>-33808</v>
      </c>
      <c r="AD9" s="145">
        <v>-37715</v>
      </c>
      <c r="AE9" s="145">
        <v>-28925</v>
      </c>
      <c r="AF9" s="145">
        <v>-131624</v>
      </c>
      <c r="AG9" s="577"/>
      <c r="AH9" s="467"/>
    </row>
    <row r="10" spans="2:34" s="1" customFormat="1" ht="11.25">
      <c r="B10" s="20" t="str">
        <f>names!A461</f>
        <v>Pozostałe przychody operacyjne</v>
      </c>
      <c r="C10" s="131">
        <v>79</v>
      </c>
      <c r="D10" s="131">
        <v>149</v>
      </c>
      <c r="E10" s="131">
        <v>170</v>
      </c>
      <c r="F10" s="131">
        <v>288</v>
      </c>
      <c r="G10" s="229">
        <v>663</v>
      </c>
      <c r="H10" s="131">
        <v>2883</v>
      </c>
      <c r="I10" s="131">
        <v>298</v>
      </c>
      <c r="J10" s="131">
        <v>560</v>
      </c>
      <c r="K10" s="131">
        <v>700</v>
      </c>
      <c r="L10" s="229">
        <v>4443</v>
      </c>
      <c r="M10" s="131">
        <v>1052</v>
      </c>
      <c r="N10" s="131">
        <v>372</v>
      </c>
      <c r="O10" s="131">
        <v>507</v>
      </c>
      <c r="P10" s="131">
        <v>1213</v>
      </c>
      <c r="Q10" s="229">
        <v>3144</v>
      </c>
      <c r="R10" s="131">
        <v>338</v>
      </c>
      <c r="S10" s="131">
        <v>213</v>
      </c>
      <c r="T10" s="131">
        <v>654</v>
      </c>
      <c r="U10" s="131">
        <v>271</v>
      </c>
      <c r="V10" s="229">
        <v>1014</v>
      </c>
      <c r="W10" s="131">
        <v>560</v>
      </c>
      <c r="X10" s="131">
        <v>193</v>
      </c>
      <c r="Y10" s="131">
        <v>344</v>
      </c>
      <c r="Z10" s="131">
        <v>752</v>
      </c>
      <c r="AA10" s="229">
        <v>1825</v>
      </c>
      <c r="AB10" s="131">
        <v>118</v>
      </c>
      <c r="AC10" s="131">
        <v>610</v>
      </c>
      <c r="AD10" s="131">
        <v>125</v>
      </c>
      <c r="AE10" s="131">
        <v>717</v>
      </c>
      <c r="AF10" s="131">
        <v>4261</v>
      </c>
      <c r="AG10" s="577"/>
      <c r="AH10" s="467"/>
    </row>
    <row r="11" spans="2:34" s="1" customFormat="1" ht="11.25">
      <c r="B11" s="20" t="str">
        <f>names!A462</f>
        <v>Pozostałe koszty operacyjne</v>
      </c>
      <c r="C11" s="131">
        <v>-93</v>
      </c>
      <c r="D11" s="131">
        <v>-73</v>
      </c>
      <c r="E11" s="131">
        <v>-307</v>
      </c>
      <c r="F11" s="131">
        <v>-578</v>
      </c>
      <c r="G11" s="229">
        <v>-1028</v>
      </c>
      <c r="H11" s="131">
        <v>-1764</v>
      </c>
      <c r="I11" s="131">
        <v>-596</v>
      </c>
      <c r="J11" s="131">
        <v>-576</v>
      </c>
      <c r="K11" s="131">
        <v>-875</v>
      </c>
      <c r="L11" s="229">
        <v>-3813</v>
      </c>
      <c r="M11" s="131">
        <v>-1178</v>
      </c>
      <c r="N11" s="131">
        <v>-458</v>
      </c>
      <c r="O11" s="131">
        <v>-520</v>
      </c>
      <c r="P11" s="131">
        <v>-702</v>
      </c>
      <c r="Q11" s="229">
        <v>-2858</v>
      </c>
      <c r="R11" s="131">
        <v>-2148</v>
      </c>
      <c r="S11" s="131">
        <v>-5137</v>
      </c>
      <c r="T11" s="131">
        <v>-142</v>
      </c>
      <c r="U11" s="131">
        <v>-3141</v>
      </c>
      <c r="V11" s="229">
        <v>-10106</v>
      </c>
      <c r="W11" s="131">
        <v>-235</v>
      </c>
      <c r="X11" s="131">
        <v>-191</v>
      </c>
      <c r="Y11" s="131">
        <v>-366</v>
      </c>
      <c r="Z11" s="131">
        <v>-2041</v>
      </c>
      <c r="AA11" s="229">
        <v>-2833</v>
      </c>
      <c r="AB11" s="131">
        <v>-146</v>
      </c>
      <c r="AC11" s="131">
        <v>-183</v>
      </c>
      <c r="AD11" s="131">
        <v>-2411</v>
      </c>
      <c r="AE11" s="131">
        <v>-525</v>
      </c>
      <c r="AF11" s="131">
        <v>-5005</v>
      </c>
      <c r="AG11" s="577"/>
      <c r="AH11" s="467"/>
    </row>
    <row r="12" spans="2:34" s="1" customFormat="1" ht="11.25">
      <c r="B12" s="203" t="str">
        <f>names!A463</f>
        <v>Pozostałe przychody/koszty operacyjne netto</v>
      </c>
      <c r="C12" s="147">
        <f>C10+C11</f>
        <v>-14</v>
      </c>
      <c r="D12" s="147">
        <f>D10+D11</f>
        <v>76</v>
      </c>
      <c r="E12" s="147">
        <f>E10+E11</f>
        <v>-137</v>
      </c>
      <c r="F12" s="147">
        <f>F10+F11</f>
        <v>-290</v>
      </c>
      <c r="G12" s="236">
        <f>G10+G11</f>
        <v>-365</v>
      </c>
      <c r="H12" s="147">
        <v>1119</v>
      </c>
      <c r="I12" s="147">
        <v>-298</v>
      </c>
      <c r="J12" s="147">
        <v>-16</v>
      </c>
      <c r="K12" s="147">
        <v>-175</v>
      </c>
      <c r="L12" s="236">
        <v>630</v>
      </c>
      <c r="M12" s="147">
        <v>-126</v>
      </c>
      <c r="N12" s="147">
        <v>-86</v>
      </c>
      <c r="O12" s="147">
        <v>-13</v>
      </c>
      <c r="P12" s="147">
        <v>511</v>
      </c>
      <c r="Q12" s="236">
        <v>286</v>
      </c>
      <c r="R12" s="147">
        <v>-1810</v>
      </c>
      <c r="S12" s="147">
        <v>-4924</v>
      </c>
      <c r="T12" s="147">
        <v>512</v>
      </c>
      <c r="U12" s="147">
        <v>-2870</v>
      </c>
      <c r="V12" s="236">
        <v>-9092</v>
      </c>
      <c r="W12" s="147">
        <v>325</v>
      </c>
      <c r="X12" s="147">
        <v>2</v>
      </c>
      <c r="Y12" s="147">
        <v>-22</v>
      </c>
      <c r="Z12" s="147">
        <v>-1289</v>
      </c>
      <c r="AA12" s="236">
        <v>-1008</v>
      </c>
      <c r="AB12" s="147">
        <v>-28</v>
      </c>
      <c r="AC12" s="147">
        <v>427</v>
      </c>
      <c r="AD12" s="147">
        <v>-2286</v>
      </c>
      <c r="AE12" s="147">
        <v>192</v>
      </c>
      <c r="AF12" s="147">
        <v>-744</v>
      </c>
      <c r="AG12" s="577"/>
      <c r="AH12" s="467"/>
    </row>
    <row r="13" spans="2:34" s="1" customFormat="1" ht="12.75" customHeight="1">
      <c r="B13" s="94" t="str">
        <f>names!A464</f>
        <v>(Strata)/odwrócenie straty z tytułu utraty wartości należności handlowych (w tym odsetek od należności handlowych)</v>
      </c>
      <c r="C13" s="133">
        <v>-1</v>
      </c>
      <c r="D13" s="133">
        <v>-6</v>
      </c>
      <c r="E13" s="133">
        <v>-1</v>
      </c>
      <c r="F13" s="133">
        <v>0</v>
      </c>
      <c r="G13" s="230">
        <v>-8</v>
      </c>
      <c r="H13" s="133">
        <v>2</v>
      </c>
      <c r="I13" s="133">
        <v>1</v>
      </c>
      <c r="J13" s="133">
        <v>-1</v>
      </c>
      <c r="K13" s="133">
        <v>-2</v>
      </c>
      <c r="L13" s="230">
        <v>0</v>
      </c>
      <c r="M13" s="133">
        <v>-1</v>
      </c>
      <c r="N13" s="133">
        <v>0</v>
      </c>
      <c r="O13" s="133">
        <v>-3</v>
      </c>
      <c r="P13" s="133">
        <v>-6</v>
      </c>
      <c r="Q13" s="230">
        <v>-10</v>
      </c>
      <c r="R13" s="133">
        <v>-3</v>
      </c>
      <c r="S13" s="133">
        <v>2</v>
      </c>
      <c r="T13" s="133">
        <v>1</v>
      </c>
      <c r="U13" s="133">
        <v>-1</v>
      </c>
      <c r="V13" s="230">
        <v>-1</v>
      </c>
      <c r="W13" s="133">
        <v>1</v>
      </c>
      <c r="X13" s="133">
        <v>1</v>
      </c>
      <c r="Y13" s="133">
        <v>0</v>
      </c>
      <c r="Z13" s="133">
        <v>-2</v>
      </c>
      <c r="AA13" s="230">
        <v>-3</v>
      </c>
      <c r="AB13" s="133">
        <v>-17</v>
      </c>
      <c r="AC13" s="133">
        <v>-15</v>
      </c>
      <c r="AD13" s="133">
        <v>3</v>
      </c>
      <c r="AE13" s="133">
        <v>-8</v>
      </c>
      <c r="AF13" s="133">
        <v>-37</v>
      </c>
      <c r="AG13" s="577"/>
      <c r="AH13" s="467"/>
    </row>
    <row r="14" spans="2:34" s="1" customFormat="1" ht="12" thickBot="1">
      <c r="B14" s="394" t="str">
        <f>names!A465</f>
        <v>Udział w wyniku finansowym jednostek wycenianych metodą praw własności</v>
      </c>
      <c r="C14" s="150">
        <v>0</v>
      </c>
      <c r="D14" s="150">
        <v>0</v>
      </c>
      <c r="E14" s="150">
        <v>0</v>
      </c>
      <c r="F14" s="150">
        <v>0</v>
      </c>
      <c r="G14" s="238">
        <v>0</v>
      </c>
      <c r="H14" s="150">
        <v>0</v>
      </c>
      <c r="I14" s="150">
        <v>-1</v>
      </c>
      <c r="J14" s="150">
        <v>1</v>
      </c>
      <c r="K14" s="150">
        <v>-1</v>
      </c>
      <c r="L14" s="238">
        <v>-1</v>
      </c>
      <c r="M14" s="150">
        <v>0</v>
      </c>
      <c r="N14" s="150">
        <v>0</v>
      </c>
      <c r="O14" s="150">
        <v>0</v>
      </c>
      <c r="P14" s="150">
        <v>1</v>
      </c>
      <c r="Q14" s="238">
        <v>1</v>
      </c>
      <c r="R14" s="150">
        <v>1</v>
      </c>
      <c r="S14" s="150">
        <v>1</v>
      </c>
      <c r="T14" s="150">
        <v>4</v>
      </c>
      <c r="U14" s="150">
        <v>4</v>
      </c>
      <c r="V14" s="238">
        <v>10</v>
      </c>
      <c r="W14" s="150">
        <v>6</v>
      </c>
      <c r="X14" s="150">
        <v>8</v>
      </c>
      <c r="Y14" s="150">
        <v>7</v>
      </c>
      <c r="Z14" s="150">
        <v>0</v>
      </c>
      <c r="AA14" s="238">
        <v>0</v>
      </c>
      <c r="AB14" s="150">
        <v>7</v>
      </c>
      <c r="AC14" s="150">
        <v>7</v>
      </c>
      <c r="AD14" s="150">
        <v>8</v>
      </c>
      <c r="AE14" s="150">
        <v>0</v>
      </c>
      <c r="AF14" s="150">
        <v>0</v>
      </c>
      <c r="AG14" s="577"/>
      <c r="AH14" s="467"/>
    </row>
    <row r="15" spans="2:34" s="1" customFormat="1" ht="20.25" customHeight="1" thickBot="1">
      <c r="B15" s="58" t="str">
        <f>names!A466</f>
        <v>Zysk/(Strata) operacyjna wg LIFO powiększona o amortyzację 
(EBITDA LIFO) przed odpisami aktualizującymi</v>
      </c>
      <c r="C15" s="148">
        <f>C17+194</f>
        <v>499</v>
      </c>
      <c r="D15" s="148">
        <f>D16+1</f>
        <v>851</v>
      </c>
      <c r="E15" s="148">
        <f>E16</f>
        <v>1167</v>
      </c>
      <c r="F15" s="148">
        <f>F16</f>
        <v>266</v>
      </c>
      <c r="G15" s="202">
        <f>G16+1</f>
        <v>2783</v>
      </c>
      <c r="H15" s="148">
        <v>-353</v>
      </c>
      <c r="I15" s="148">
        <v>614</v>
      </c>
      <c r="J15" s="148">
        <v>-370</v>
      </c>
      <c r="K15" s="148">
        <v>98</v>
      </c>
      <c r="L15" s="202">
        <v>-11</v>
      </c>
      <c r="M15" s="148">
        <v>22</v>
      </c>
      <c r="N15" s="148">
        <v>282</v>
      </c>
      <c r="O15" s="148">
        <v>1198</v>
      </c>
      <c r="P15" s="148">
        <v>2112</v>
      </c>
      <c r="Q15" s="202">
        <v>3614</v>
      </c>
      <c r="R15" s="148">
        <v>900</v>
      </c>
      <c r="S15" s="148">
        <v>4656</v>
      </c>
      <c r="T15" s="148">
        <v>7319</v>
      </c>
      <c r="U15" s="148">
        <v>10428</v>
      </c>
      <c r="V15" s="202">
        <v>23303</v>
      </c>
      <c r="W15" s="148">
        <v>5485</v>
      </c>
      <c r="X15" s="148">
        <v>2536</v>
      </c>
      <c r="Y15" s="148">
        <v>1866</v>
      </c>
      <c r="Z15" s="148">
        <v>-402</v>
      </c>
      <c r="AA15" s="202">
        <v>9437</v>
      </c>
      <c r="AB15" s="148">
        <v>2272</v>
      </c>
      <c r="AC15" s="148">
        <v>2622</v>
      </c>
      <c r="AD15" s="148">
        <v>520</v>
      </c>
      <c r="AE15" s="148">
        <v>1564</v>
      </c>
      <c r="AF15" s="148">
        <v>7237</v>
      </c>
      <c r="AG15" s="577"/>
      <c r="AH15" s="467"/>
    </row>
    <row r="16" spans="2:34" s="56" customFormat="1" ht="23.25" customHeight="1" thickBot="1">
      <c r="B16" s="59" t="str">
        <f>names!A467</f>
        <v>Zysk/(Strata) operacyjna wg LIFO powiększona o amortyzację 
(EBITDA LIFO)</v>
      </c>
      <c r="C16" s="146">
        <f>C17+194</f>
        <v>499</v>
      </c>
      <c r="D16" s="146">
        <f>D17-228</f>
        <v>850</v>
      </c>
      <c r="E16" s="146">
        <f>E17+362</f>
        <v>1167</v>
      </c>
      <c r="F16" s="146">
        <f>F17-183</f>
        <v>266</v>
      </c>
      <c r="G16" s="235">
        <f>G17+145</f>
        <v>2782</v>
      </c>
      <c r="H16" s="146">
        <v>-357</v>
      </c>
      <c r="I16" s="146">
        <v>610</v>
      </c>
      <c r="J16" s="146">
        <v>-368</v>
      </c>
      <c r="K16" s="146">
        <v>-7</v>
      </c>
      <c r="L16" s="235">
        <v>-122</v>
      </c>
      <c r="M16" s="146">
        <v>20</v>
      </c>
      <c r="N16" s="146">
        <v>263</v>
      </c>
      <c r="O16" s="146">
        <v>1195</v>
      </c>
      <c r="P16" s="146">
        <v>2126</v>
      </c>
      <c r="Q16" s="235">
        <v>3604</v>
      </c>
      <c r="R16" s="146">
        <v>875</v>
      </c>
      <c r="S16" s="146">
        <v>1845</v>
      </c>
      <c r="T16" s="146">
        <v>7316</v>
      </c>
      <c r="U16" s="146">
        <v>7611</v>
      </c>
      <c r="V16" s="235">
        <v>17647</v>
      </c>
      <c r="W16" s="146">
        <v>5485</v>
      </c>
      <c r="X16" s="146">
        <v>2519</v>
      </c>
      <c r="Y16" s="146">
        <v>1866</v>
      </c>
      <c r="Z16" s="146">
        <v>-554</v>
      </c>
      <c r="AA16" s="235">
        <v>9268</v>
      </c>
      <c r="AB16" s="146">
        <v>2270</v>
      </c>
      <c r="AC16" s="146">
        <v>2617</v>
      </c>
      <c r="AD16" s="146">
        <v>-1831</v>
      </c>
      <c r="AE16" s="146">
        <v>1471</v>
      </c>
      <c r="AF16" s="146">
        <v>5590</v>
      </c>
      <c r="AG16" s="577"/>
      <c r="AH16" s="467"/>
    </row>
    <row r="17" spans="2:34" s="56" customFormat="1" ht="12" thickBot="1">
      <c r="B17" s="386" t="str">
        <f>names!A468</f>
        <v>Zysk/(Strata) operacyjna powiększona o amortyzację (EBITDA)</v>
      </c>
      <c r="C17" s="148">
        <v>305</v>
      </c>
      <c r="D17" s="148">
        <v>1078</v>
      </c>
      <c r="E17" s="148">
        <v>805</v>
      </c>
      <c r="F17" s="148">
        <v>449</v>
      </c>
      <c r="G17" s="202">
        <v>2637</v>
      </c>
      <c r="H17" s="148">
        <v>-2303</v>
      </c>
      <c r="I17" s="148">
        <v>84</v>
      </c>
      <c r="J17" s="148">
        <v>-98</v>
      </c>
      <c r="K17" s="148">
        <v>-85</v>
      </c>
      <c r="L17" s="202">
        <v>-2402</v>
      </c>
      <c r="M17" s="148">
        <v>1094</v>
      </c>
      <c r="N17" s="148">
        <v>1186</v>
      </c>
      <c r="O17" s="148">
        <v>2055</v>
      </c>
      <c r="P17" s="148">
        <v>3321</v>
      </c>
      <c r="Q17" s="202">
        <v>7656</v>
      </c>
      <c r="R17" s="148">
        <v>2954</v>
      </c>
      <c r="S17" s="148">
        <v>3176</v>
      </c>
      <c r="T17" s="148">
        <v>6837</v>
      </c>
      <c r="U17" s="148">
        <v>5779</v>
      </c>
      <c r="V17" s="202">
        <v>18746</v>
      </c>
      <c r="W17" s="148">
        <v>4327</v>
      </c>
      <c r="X17" s="148">
        <v>2169</v>
      </c>
      <c r="Y17" s="148">
        <v>3131</v>
      </c>
      <c r="Z17" s="148">
        <v>-1166</v>
      </c>
      <c r="AA17" s="202">
        <v>8413</v>
      </c>
      <c r="AB17" s="148">
        <v>2293</v>
      </c>
      <c r="AC17" s="148">
        <v>2656</v>
      </c>
      <c r="AD17" s="148">
        <v>-2154</v>
      </c>
      <c r="AE17" s="148">
        <v>1469</v>
      </c>
      <c r="AF17" s="148">
        <v>5327</v>
      </c>
      <c r="AG17" s="577"/>
      <c r="AH17" s="467"/>
    </row>
    <row r="18" spans="2:34" s="1" customFormat="1" ht="11.1" customHeight="1" thickBot="1">
      <c r="B18" s="58" t="str">
        <f>names!A469</f>
        <v>Zysk/(Strata) operacyjna wg LIFO (EBIT LIFO) przed odpisami aktualizującymi</v>
      </c>
      <c r="C18" s="148">
        <f>C20+194</f>
        <v>226</v>
      </c>
      <c r="D18" s="148">
        <f>D19+1</f>
        <v>566</v>
      </c>
      <c r="E18" s="148">
        <f>E19</f>
        <v>885</v>
      </c>
      <c r="F18" s="148">
        <f>F19+1</f>
        <v>-28</v>
      </c>
      <c r="G18" s="202">
        <f>G19+2</f>
        <v>1649</v>
      </c>
      <c r="H18" s="148">
        <v>-633</v>
      </c>
      <c r="I18" s="148">
        <v>324</v>
      </c>
      <c r="J18" s="148">
        <v>-655</v>
      </c>
      <c r="K18" s="148">
        <v>-234</v>
      </c>
      <c r="L18" s="202">
        <v>-1198</v>
      </c>
      <c r="M18" s="148">
        <v>-307</v>
      </c>
      <c r="N18" s="148">
        <v>-50</v>
      </c>
      <c r="O18" s="148">
        <v>860</v>
      </c>
      <c r="P18" s="148">
        <v>1744</v>
      </c>
      <c r="Q18" s="202">
        <v>2247</v>
      </c>
      <c r="R18" s="148">
        <v>534</v>
      </c>
      <c r="S18" s="148">
        <v>4289</v>
      </c>
      <c r="T18" s="148">
        <v>6955</v>
      </c>
      <c r="U18" s="148">
        <v>10035</v>
      </c>
      <c r="V18" s="202">
        <v>21813</v>
      </c>
      <c r="W18" s="148">
        <v>5120</v>
      </c>
      <c r="X18" s="148">
        <v>2152</v>
      </c>
      <c r="Y18" s="148">
        <v>1500</v>
      </c>
      <c r="Z18" s="148">
        <v>-780</v>
      </c>
      <c r="AA18" s="202">
        <v>7944</v>
      </c>
      <c r="AB18" s="148">
        <v>1877</v>
      </c>
      <c r="AC18" s="148">
        <v>2200</v>
      </c>
      <c r="AD18" s="148">
        <v>87</v>
      </c>
      <c r="AE18" s="148">
        <v>1119</v>
      </c>
      <c r="AF18" s="148">
        <v>5508</v>
      </c>
      <c r="AG18" s="577"/>
      <c r="AH18" s="467"/>
    </row>
    <row r="19" spans="2:34" s="56" customFormat="1" ht="12" thickBot="1">
      <c r="B19" s="59" t="str">
        <f>names!A470</f>
        <v>Zysk/(Strata) operacyjna wg LIFO (EBIT LIFO)</v>
      </c>
      <c r="C19" s="146">
        <f>C20+194</f>
        <v>226</v>
      </c>
      <c r="D19" s="146">
        <f>D20-228</f>
        <v>565</v>
      </c>
      <c r="E19" s="146">
        <f>E20+362</f>
        <v>885</v>
      </c>
      <c r="F19" s="146">
        <f>F20-183</f>
        <v>-29</v>
      </c>
      <c r="G19" s="235">
        <f>G20+145</f>
        <v>1647</v>
      </c>
      <c r="H19" s="146">
        <v>-637</v>
      </c>
      <c r="I19" s="146">
        <v>320</v>
      </c>
      <c r="J19" s="146">
        <v>-653</v>
      </c>
      <c r="K19" s="146">
        <v>-339</v>
      </c>
      <c r="L19" s="235">
        <v>-1309</v>
      </c>
      <c r="M19" s="146">
        <v>-309</v>
      </c>
      <c r="N19" s="146">
        <v>-69</v>
      </c>
      <c r="O19" s="146">
        <v>857</v>
      </c>
      <c r="P19" s="146">
        <v>1758</v>
      </c>
      <c r="Q19" s="235">
        <v>2237</v>
      </c>
      <c r="R19" s="146">
        <v>509</v>
      </c>
      <c r="S19" s="146">
        <v>1478</v>
      </c>
      <c r="T19" s="146">
        <v>6952</v>
      </c>
      <c r="U19" s="146">
        <v>7218</v>
      </c>
      <c r="V19" s="235">
        <v>16157</v>
      </c>
      <c r="W19" s="146">
        <v>5120</v>
      </c>
      <c r="X19" s="146">
        <v>2135</v>
      </c>
      <c r="Y19" s="146">
        <v>1500</v>
      </c>
      <c r="Z19" s="146">
        <v>-932</v>
      </c>
      <c r="AA19" s="235">
        <v>7775</v>
      </c>
      <c r="AB19" s="146">
        <v>1875</v>
      </c>
      <c r="AC19" s="146">
        <v>2195</v>
      </c>
      <c r="AD19" s="146">
        <v>-2264</v>
      </c>
      <c r="AE19" s="146">
        <v>1026</v>
      </c>
      <c r="AF19" s="146">
        <v>3861</v>
      </c>
      <c r="AG19" s="577"/>
      <c r="AH19" s="467"/>
    </row>
    <row r="20" spans="2:34" s="56" customFormat="1" ht="12" thickBot="1">
      <c r="B20" s="58" t="str">
        <f>names!A471</f>
        <v>Zysk/(Strata) operacyjna (EBIT)</v>
      </c>
      <c r="C20" s="148">
        <f>C6+C9+C10+C11+C13+C14</f>
        <v>32</v>
      </c>
      <c r="D20" s="148">
        <f>D6+D9+D10+D11+D13+D14</f>
        <v>793</v>
      </c>
      <c r="E20" s="148">
        <f>E6+E9+E10+E11+E13+E14</f>
        <v>523</v>
      </c>
      <c r="F20" s="148">
        <f>F6+F9+F10+F11+F13+F14</f>
        <v>154</v>
      </c>
      <c r="G20" s="202">
        <f>G6+G9+G10+G11+G13+G14</f>
        <v>1502</v>
      </c>
      <c r="H20" s="148">
        <v>-2583</v>
      </c>
      <c r="I20" s="148">
        <v>-206</v>
      </c>
      <c r="J20" s="148">
        <v>-383</v>
      </c>
      <c r="K20" s="148">
        <v>-417</v>
      </c>
      <c r="L20" s="202">
        <v>-3589</v>
      </c>
      <c r="M20" s="148">
        <v>765</v>
      </c>
      <c r="N20" s="148">
        <v>854</v>
      </c>
      <c r="O20" s="148">
        <v>1717</v>
      </c>
      <c r="P20" s="148">
        <v>2953</v>
      </c>
      <c r="Q20" s="202">
        <v>6289</v>
      </c>
      <c r="R20" s="148">
        <v>2588</v>
      </c>
      <c r="S20" s="148">
        <v>2809</v>
      </c>
      <c r="T20" s="148">
        <v>6473</v>
      </c>
      <c r="U20" s="148">
        <v>5386</v>
      </c>
      <c r="V20" s="202">
        <v>17256</v>
      </c>
      <c r="W20" s="148">
        <v>3962</v>
      </c>
      <c r="X20" s="148">
        <v>1785</v>
      </c>
      <c r="Y20" s="148">
        <v>2765</v>
      </c>
      <c r="Z20" s="148">
        <v>-1544</v>
      </c>
      <c r="AA20" s="202">
        <v>6920</v>
      </c>
      <c r="AB20" s="148">
        <v>1898</v>
      </c>
      <c r="AC20" s="148">
        <v>2234</v>
      </c>
      <c r="AD20" s="148">
        <v>-2587</v>
      </c>
      <c r="AE20" s="148">
        <v>1024</v>
      </c>
      <c r="AF20" s="148">
        <v>3598</v>
      </c>
      <c r="AG20" s="577"/>
      <c r="AH20" s="467"/>
    </row>
    <row r="21" spans="2:34" s="1" customFormat="1" ht="11.25">
      <c r="B21" s="51" t="str">
        <f>names!A472</f>
        <v>Zwiększenie aktywów trwałych</v>
      </c>
      <c r="C21" s="151">
        <v>226</v>
      </c>
      <c r="D21" s="151">
        <v>440</v>
      </c>
      <c r="E21" s="151">
        <v>371</v>
      </c>
      <c r="F21" s="151">
        <v>684</v>
      </c>
      <c r="G21" s="239">
        <v>1721</v>
      </c>
      <c r="H21" s="151">
        <v>479</v>
      </c>
      <c r="I21" s="151">
        <v>782</v>
      </c>
      <c r="J21" s="151">
        <v>728</v>
      </c>
      <c r="K21" s="151">
        <v>1185</v>
      </c>
      <c r="L21" s="239">
        <v>3174</v>
      </c>
      <c r="M21" s="151">
        <v>374</v>
      </c>
      <c r="N21" s="151">
        <v>497</v>
      </c>
      <c r="O21" s="151">
        <v>682</v>
      </c>
      <c r="P21" s="151">
        <v>823</v>
      </c>
      <c r="Q21" s="239">
        <v>2376</v>
      </c>
      <c r="R21" s="151">
        <v>761</v>
      </c>
      <c r="S21" s="151">
        <v>986</v>
      </c>
      <c r="T21" s="151">
        <v>992</v>
      </c>
      <c r="U21" s="151">
        <v>1594</v>
      </c>
      <c r="V21" s="239">
        <v>4333</v>
      </c>
      <c r="W21" s="151">
        <v>952</v>
      </c>
      <c r="X21" s="151">
        <v>1528</v>
      </c>
      <c r="Y21" s="151">
        <v>1860</v>
      </c>
      <c r="Z21" s="151">
        <v>3153</v>
      </c>
      <c r="AA21" s="239">
        <v>7493</v>
      </c>
      <c r="AB21" s="151">
        <v>1110</v>
      </c>
      <c r="AC21" s="151">
        <v>1907</v>
      </c>
      <c r="AD21" s="151">
        <v>1339</v>
      </c>
      <c r="AE21" s="151">
        <v>2035</v>
      </c>
      <c r="AF21" s="151">
        <v>6391</v>
      </c>
      <c r="AG21" s="577"/>
      <c r="AH21" s="467"/>
    </row>
    <row r="22" spans="2:34" s="56" customFormat="1" ht="11.25">
      <c r="B22" s="94" t="str">
        <f>names!A473</f>
        <v>Sprzedaż produktów (tys. ton)</v>
      </c>
      <c r="C22" s="133">
        <v>6438</v>
      </c>
      <c r="D22" s="133">
        <v>6811</v>
      </c>
      <c r="E22" s="133">
        <v>7289</v>
      </c>
      <c r="F22" s="133">
        <v>7015</v>
      </c>
      <c r="G22" s="230">
        <v>27553</v>
      </c>
      <c r="H22" s="133">
        <v>5696</v>
      </c>
      <c r="I22" s="133">
        <v>5222</v>
      </c>
      <c r="J22" s="133">
        <v>6441</v>
      </c>
      <c r="K22" s="133">
        <v>6201</v>
      </c>
      <c r="L22" s="230">
        <v>23560</v>
      </c>
      <c r="M22" s="133">
        <v>5049</v>
      </c>
      <c r="N22" s="133">
        <v>5797</v>
      </c>
      <c r="O22" s="133">
        <v>6747</v>
      </c>
      <c r="P22" s="133">
        <v>6796</v>
      </c>
      <c r="Q22" s="230">
        <v>24389</v>
      </c>
      <c r="R22" s="133">
        <v>5912</v>
      </c>
      <c r="S22" s="133">
        <v>5915</v>
      </c>
      <c r="T22" s="133">
        <v>8933</v>
      </c>
      <c r="U22" s="133">
        <v>9698</v>
      </c>
      <c r="V22" s="230">
        <v>30458</v>
      </c>
      <c r="W22" s="133">
        <v>7432</v>
      </c>
      <c r="X22" s="133">
        <v>8036</v>
      </c>
      <c r="Y22" s="133">
        <v>8771</v>
      </c>
      <c r="Z22" s="133">
        <v>8702</v>
      </c>
      <c r="AA22" s="230">
        <v>32941</v>
      </c>
      <c r="AB22" s="133">
        <v>7331</v>
      </c>
      <c r="AC22" s="133">
        <v>7879</v>
      </c>
      <c r="AD22" s="133">
        <v>8296</v>
      </c>
      <c r="AE22" s="133">
        <v>7904</v>
      </c>
      <c r="AF22" s="133">
        <v>31410</v>
      </c>
      <c r="AG22" s="577"/>
      <c r="AH22" s="467"/>
    </row>
    <row r="23" spans="2:34" s="56" customFormat="1" ht="6.75" customHeight="1">
      <c r="B23" s="203"/>
      <c r="C23" s="147"/>
      <c r="D23" s="147"/>
      <c r="E23" s="147"/>
      <c r="F23" s="147"/>
      <c r="G23" s="147"/>
      <c r="H23" s="131"/>
      <c r="I23" s="131"/>
      <c r="J23" s="131"/>
      <c r="K23" s="131"/>
      <c r="L23" s="496"/>
      <c r="M23" s="131"/>
      <c r="N23" s="131"/>
      <c r="O23" s="131"/>
      <c r="P23" s="131"/>
      <c r="Q23" s="496"/>
      <c r="R23" s="131"/>
      <c r="S23" s="131"/>
      <c r="T23" s="131"/>
      <c r="U23" s="131"/>
      <c r="V23" s="496"/>
      <c r="W23" s="131"/>
      <c r="X23" s="131"/>
      <c r="Y23" s="131"/>
      <c r="Z23" s="131"/>
      <c r="AA23" s="496"/>
      <c r="AB23" s="131"/>
      <c r="AC23" s="131"/>
      <c r="AD23" s="131"/>
      <c r="AE23" s="131"/>
      <c r="AF23" s="131"/>
      <c r="AG23" s="577"/>
    </row>
    <row r="24" spans="2:34" s="56" customFormat="1" ht="11.25">
      <c r="B24" s="1004" t="str">
        <f>names!A475</f>
        <v>*) Dane przekształcone.</v>
      </c>
      <c r="C24" s="1004" t="str">
        <f>names!B475</f>
        <v>*) Dane przekształcone.</v>
      </c>
      <c r="D24" s="1004" t="str">
        <f>names!C475</f>
        <v>*) Restated data.</v>
      </c>
      <c r="E24" s="1004">
        <f>names!E475</f>
        <v>0</v>
      </c>
      <c r="F24" s="1004">
        <f>names!F475</f>
        <v>0</v>
      </c>
      <c r="G24" s="1004">
        <f>names!G475</f>
        <v>0</v>
      </c>
      <c r="H24" s="131"/>
      <c r="I24" s="131"/>
      <c r="J24" s="131"/>
      <c r="K24" s="131"/>
      <c r="L24" s="496"/>
      <c r="M24" s="131"/>
      <c r="N24" s="131"/>
      <c r="O24" s="131"/>
      <c r="P24" s="131"/>
      <c r="Q24" s="496"/>
      <c r="R24" s="131"/>
      <c r="S24" s="131"/>
      <c r="T24" s="131"/>
      <c r="U24" s="131"/>
      <c r="V24" s="496"/>
      <c r="W24" s="131"/>
      <c r="X24" s="131"/>
      <c r="Y24" s="131"/>
      <c r="Z24" s="131"/>
      <c r="AA24" s="496"/>
      <c r="AB24" s="131"/>
      <c r="AC24" s="131"/>
      <c r="AD24" s="131"/>
      <c r="AE24" s="131"/>
      <c r="AF24" s="131"/>
      <c r="AG24" s="577"/>
    </row>
    <row r="25" spans="2:34">
      <c r="B25" s="7"/>
    </row>
    <row r="26" spans="2:34">
      <c r="B26" s="577"/>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row>
    <row r="27" spans="2:34">
      <c r="B27" s="768"/>
      <c r="D27" s="526"/>
    </row>
    <row r="28" spans="2:34">
      <c r="C28" s="370"/>
      <c r="H28" s="370"/>
      <c r="M28" s="370"/>
      <c r="R28" s="370"/>
      <c r="W28" s="370"/>
      <c r="AB28" s="370"/>
    </row>
    <row r="30" spans="2:34">
      <c r="C30" s="370"/>
      <c r="D30" s="370"/>
      <c r="E30" s="370"/>
      <c r="F30" s="370"/>
      <c r="G30" s="370"/>
    </row>
    <row r="31" spans="2:34">
      <c r="C31" s="489"/>
      <c r="D31" s="489"/>
      <c r="E31" s="489"/>
      <c r="F31" s="489"/>
      <c r="G31" s="489"/>
    </row>
  </sheetData>
  <mergeCells count="1">
    <mergeCell ref="B24:G24"/>
  </mergeCells>
  <conditionalFormatting sqref="B26:AF26">
    <cfRule type="cellIs" dxfId="55" priority="3" operator="equal">
      <formula>FALSE</formula>
    </cfRule>
  </conditionalFormatting>
  <conditionalFormatting sqref="AG2:AG24">
    <cfRule type="cellIs" dxfId="54"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0.34998626667073579"/>
    <pageSetUpPr fitToPage="1"/>
  </sheetPr>
  <dimension ref="B2:AH31"/>
  <sheetViews>
    <sheetView showGridLines="0" view="pageBreakPreview" zoomScaleNormal="100" zoomScaleSheetLayoutView="100" workbookViewId="0">
      <pane xSplit="2" ySplit="4" topLeftCell="C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64.28515625" style="16" customWidth="1"/>
    <col min="3" max="3" width="8.42578125" hidden="1" customWidth="1" outlineLevel="1"/>
    <col min="4" max="6" width="7.5703125" hidden="1" customWidth="1" outlineLevel="1"/>
    <col min="7" max="7" width="7.5703125" customWidth="1" collapsed="1"/>
    <col min="8" max="8" width="8.42578125" hidden="1" customWidth="1" outlineLevel="1"/>
    <col min="9" max="11" width="7.5703125" hidden="1" customWidth="1" outlineLevel="1"/>
    <col min="12" max="12" width="7.5703125" customWidth="1" collapsed="1"/>
    <col min="13" max="13" width="8.42578125" hidden="1" customWidth="1" outlineLevel="1"/>
    <col min="14" max="16" width="7.5703125" hidden="1" customWidth="1" outlineLevel="1"/>
    <col min="17" max="17" width="7.5703125" customWidth="1" collapsed="1"/>
    <col min="18" max="18" width="8.42578125" hidden="1" customWidth="1" outlineLevel="1"/>
    <col min="19" max="21" width="7.5703125" hidden="1" customWidth="1" outlineLevel="1"/>
    <col min="22" max="22" width="7.5703125" customWidth="1" collapsed="1"/>
    <col min="23" max="23" width="8.42578125" hidden="1" customWidth="1" outlineLevel="1"/>
    <col min="24" max="26" width="7.5703125" hidden="1" customWidth="1" outlineLevel="1"/>
    <col min="27" max="27" width="7.5703125" customWidth="1" collapsed="1"/>
    <col min="28" max="28" width="8.42578125" hidden="1" customWidth="1" outlineLevel="1"/>
    <col min="29" max="31" width="7.5703125" hidden="1" customWidth="1" outlineLevel="1"/>
    <col min="32" max="32" width="7.5703125" customWidth="1" collapsed="1"/>
  </cols>
  <sheetData>
    <row r="2" spans="2:34" ht="15.75">
      <c r="B2" s="397" t="str">
        <f>names!A478</f>
        <v>Segment Petrochemia</v>
      </c>
      <c r="AG2" s="577"/>
    </row>
    <row r="3" spans="2:34" ht="10.15" customHeight="1">
      <c r="AG3" s="577"/>
    </row>
    <row r="4" spans="2:34" s="24" customFormat="1" ht="30" customHeight="1">
      <c r="B4" s="15" t="str">
        <f>names!A455</f>
        <v>Wyszczególnienie, 
mln PLN</v>
      </c>
      <c r="C4" s="15" t="str">
        <f>names!$A392</f>
        <v>I kw.
2019*</v>
      </c>
      <c r="D4" s="15" t="str">
        <f>names!$A394</f>
        <v>II kw.
2019*</v>
      </c>
      <c r="E4" s="15" t="str">
        <f>names!$A396</f>
        <v>III kw.
2019*</v>
      </c>
      <c r="F4" s="15" t="str">
        <f>names!$A398</f>
        <v>IV kw.
2019*</v>
      </c>
      <c r="G4" s="15" t="str">
        <f>names!$A400</f>
        <v>12 m-cy
2019*</v>
      </c>
      <c r="H4" s="15" t="str">
        <f>names!$A402</f>
        <v>I kw.
2020*</v>
      </c>
      <c r="I4" s="15" t="str">
        <f>names!$A404</f>
        <v>II kw.
2020</v>
      </c>
      <c r="J4" s="15" t="str">
        <f>names!$A406</f>
        <v>III kw.
2020</v>
      </c>
      <c r="K4" s="15" t="str">
        <f>names!$A408</f>
        <v>IV kw.
2020</v>
      </c>
      <c r="L4" s="15" t="str">
        <f>names!$A153</f>
        <v>12 m-cy 2020</v>
      </c>
      <c r="M4" s="15" t="str">
        <f>names!A476</f>
        <v>I kw.
2021*</v>
      </c>
      <c r="N4" s="15" t="str">
        <f>names!A477</f>
        <v>II kw.
2021*</v>
      </c>
      <c r="O4" s="15" t="str">
        <f>names!$A156</f>
        <v>III kw. 
2021</v>
      </c>
      <c r="P4" s="15" t="str">
        <f>names!$A157</f>
        <v>IV kw. 
2021</v>
      </c>
      <c r="Q4" s="15" t="str">
        <f>names!A158</f>
        <v>12 m-cy 2021</v>
      </c>
      <c r="R4" s="15" t="str">
        <f>names!$A159</f>
        <v>I kw. 
2022</v>
      </c>
      <c r="S4" s="15" t="str">
        <f>names!$A160</f>
        <v>II kw. 
2022</v>
      </c>
      <c r="T4" s="15" t="str">
        <f>names!$A161</f>
        <v>III kw. 
2022</v>
      </c>
      <c r="U4" s="15" t="str">
        <f>names!$A162</f>
        <v>IV kw. 
2022</v>
      </c>
      <c r="V4" s="15" t="str">
        <f>names!$A163</f>
        <v>12 m-cy 2022</v>
      </c>
      <c r="W4" s="15" t="str">
        <f>names!$A164</f>
        <v>I kw. 
2023</v>
      </c>
      <c r="X4" s="15" t="str">
        <f>names!$A165</f>
        <v>II kw. 
2023</v>
      </c>
      <c r="Y4" s="15" t="str">
        <f>names!$A166</f>
        <v>III kw. 
2023</v>
      </c>
      <c r="Z4" s="15" t="str">
        <f>names!$A167</f>
        <v>IV kw. 
2023</v>
      </c>
      <c r="AA4" s="15" t="str">
        <f>names!$A168</f>
        <v>12 m-cy 2023</v>
      </c>
      <c r="AB4" s="15" t="str">
        <f>names!$A169</f>
        <v>I kw. 
2024</v>
      </c>
      <c r="AC4" s="15" t="str">
        <f>names!$A170</f>
        <v>II kw. 
2024</v>
      </c>
      <c r="AD4" s="15" t="str">
        <f>names!$A171</f>
        <v>III kw. 
2024</v>
      </c>
      <c r="AE4" s="15" t="str">
        <f>names!$A172</f>
        <v>IV kw. 
2024</v>
      </c>
      <c r="AF4" s="15" t="str">
        <f>names!$A173</f>
        <v>12 m-cy 2024</v>
      </c>
      <c r="AG4" s="577"/>
    </row>
    <row r="5" spans="2:34"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577"/>
    </row>
    <row r="6" spans="2:34" s="1" customFormat="1" ht="11.25">
      <c r="B6" s="59" t="str">
        <f>names!A457</f>
        <v>Przychody ze sprzedaży</v>
      </c>
      <c r="C6" s="146">
        <f>C7+C8</f>
        <v>4130</v>
      </c>
      <c r="D6" s="146">
        <f>D7+D8</f>
        <v>4239</v>
      </c>
      <c r="E6" s="146">
        <f>E7+E8</f>
        <v>3984</v>
      </c>
      <c r="F6" s="146">
        <f>F7+F8</f>
        <v>3397</v>
      </c>
      <c r="G6" s="235">
        <f>G7+G8</f>
        <v>15750</v>
      </c>
      <c r="H6" s="146">
        <v>3787</v>
      </c>
      <c r="I6" s="146">
        <v>2320</v>
      </c>
      <c r="J6" s="146">
        <v>3144</v>
      </c>
      <c r="K6" s="146">
        <v>3389</v>
      </c>
      <c r="L6" s="235">
        <v>12640</v>
      </c>
      <c r="M6" s="146">
        <v>3777</v>
      </c>
      <c r="N6" s="146">
        <v>3393</v>
      </c>
      <c r="O6" s="146">
        <v>5177</v>
      </c>
      <c r="P6" s="146">
        <v>5916</v>
      </c>
      <c r="Q6" s="235">
        <v>18263</v>
      </c>
      <c r="R6" s="146">
        <v>7633</v>
      </c>
      <c r="S6" s="146">
        <v>8938</v>
      </c>
      <c r="T6" s="146">
        <v>7170</v>
      </c>
      <c r="U6" s="146">
        <v>6433</v>
      </c>
      <c r="V6" s="235">
        <v>30174</v>
      </c>
      <c r="W6" s="146">
        <v>5653</v>
      </c>
      <c r="X6" s="146">
        <v>4765</v>
      </c>
      <c r="Y6" s="146">
        <v>4679</v>
      </c>
      <c r="Z6" s="146">
        <v>3760</v>
      </c>
      <c r="AA6" s="235">
        <v>18857</v>
      </c>
      <c r="AB6" s="146">
        <v>4886</v>
      </c>
      <c r="AC6" s="146">
        <v>5205</v>
      </c>
      <c r="AD6" s="146">
        <v>4880</v>
      </c>
      <c r="AE6" s="146">
        <v>4596</v>
      </c>
      <c r="AF6" s="235">
        <v>19567</v>
      </c>
      <c r="AG6" s="577"/>
      <c r="AH6" s="467"/>
    </row>
    <row r="7" spans="2:34" s="1" customFormat="1" ht="11.25">
      <c r="B7" s="95" t="str">
        <f>names!A458</f>
        <v>Sprzedaż zewnętrzna</v>
      </c>
      <c r="C7" s="147">
        <v>3556</v>
      </c>
      <c r="D7" s="147">
        <v>3582</v>
      </c>
      <c r="E7" s="147">
        <v>3388</v>
      </c>
      <c r="F7" s="147">
        <v>2827</v>
      </c>
      <c r="G7" s="236">
        <v>13353</v>
      </c>
      <c r="H7" s="147">
        <v>3102</v>
      </c>
      <c r="I7" s="147">
        <v>1945</v>
      </c>
      <c r="J7" s="147">
        <v>2615</v>
      </c>
      <c r="K7" s="147">
        <v>2925</v>
      </c>
      <c r="L7" s="236">
        <v>10587</v>
      </c>
      <c r="M7" s="147">
        <v>3318</v>
      </c>
      <c r="N7" s="147">
        <v>3113</v>
      </c>
      <c r="O7" s="147">
        <v>4458</v>
      </c>
      <c r="P7" s="147">
        <v>5122</v>
      </c>
      <c r="Q7" s="236">
        <v>16011</v>
      </c>
      <c r="R7" s="147">
        <v>6434</v>
      </c>
      <c r="S7" s="147">
        <v>7219</v>
      </c>
      <c r="T7" s="147">
        <v>5706</v>
      </c>
      <c r="U7" s="147">
        <v>5116</v>
      </c>
      <c r="V7" s="236">
        <v>24475</v>
      </c>
      <c r="W7" s="147">
        <v>4456</v>
      </c>
      <c r="X7" s="147">
        <v>3674</v>
      </c>
      <c r="Y7" s="147">
        <v>3513</v>
      </c>
      <c r="Z7" s="147">
        <v>3020</v>
      </c>
      <c r="AA7" s="236">
        <v>14663</v>
      </c>
      <c r="AB7" s="147">
        <v>3866</v>
      </c>
      <c r="AC7" s="147">
        <v>4122</v>
      </c>
      <c r="AD7" s="147">
        <v>3795</v>
      </c>
      <c r="AE7" s="147">
        <v>3640</v>
      </c>
      <c r="AF7" s="236">
        <v>15423</v>
      </c>
      <c r="AG7" s="577"/>
      <c r="AH7" s="467"/>
    </row>
    <row r="8" spans="2:34" s="1" customFormat="1" ht="11.25">
      <c r="B8" s="25" t="str">
        <f>names!A459</f>
        <v>Sprzedaż między segmentami</v>
      </c>
      <c r="C8" s="131">
        <v>574</v>
      </c>
      <c r="D8" s="131">
        <v>657</v>
      </c>
      <c r="E8" s="131">
        <v>596</v>
      </c>
      <c r="F8" s="131">
        <v>570</v>
      </c>
      <c r="G8" s="229">
        <v>2397</v>
      </c>
      <c r="H8" s="131">
        <v>685</v>
      </c>
      <c r="I8" s="131">
        <v>375</v>
      </c>
      <c r="J8" s="131">
        <v>529</v>
      </c>
      <c r="K8" s="131">
        <v>464</v>
      </c>
      <c r="L8" s="229">
        <v>2053</v>
      </c>
      <c r="M8" s="131">
        <v>459</v>
      </c>
      <c r="N8" s="131">
        <v>280</v>
      </c>
      <c r="O8" s="131">
        <v>719</v>
      </c>
      <c r="P8" s="131">
        <v>794</v>
      </c>
      <c r="Q8" s="229">
        <v>2252</v>
      </c>
      <c r="R8" s="131">
        <v>1199</v>
      </c>
      <c r="S8" s="131">
        <v>1719</v>
      </c>
      <c r="T8" s="131">
        <v>1464</v>
      </c>
      <c r="U8" s="131">
        <v>1317</v>
      </c>
      <c r="V8" s="229">
        <v>5699</v>
      </c>
      <c r="W8" s="131">
        <v>1197</v>
      </c>
      <c r="X8" s="131">
        <v>1091</v>
      </c>
      <c r="Y8" s="131">
        <v>1166</v>
      </c>
      <c r="Z8" s="131">
        <v>740</v>
      </c>
      <c r="AA8" s="229">
        <v>4194</v>
      </c>
      <c r="AB8" s="131">
        <v>1020</v>
      </c>
      <c r="AC8" s="131">
        <v>1083</v>
      </c>
      <c r="AD8" s="131">
        <v>1085</v>
      </c>
      <c r="AE8" s="131">
        <v>956</v>
      </c>
      <c r="AF8" s="229">
        <v>4144</v>
      </c>
      <c r="AG8" s="577"/>
      <c r="AH8" s="467"/>
    </row>
    <row r="9" spans="2:34" s="1" customFormat="1" ht="11.25">
      <c r="B9" s="89" t="str">
        <f>names!A460</f>
        <v>Koszty operacyjne ogółem</v>
      </c>
      <c r="C9" s="145">
        <v>-3671</v>
      </c>
      <c r="D9" s="145">
        <v>-3821</v>
      </c>
      <c r="E9" s="145">
        <v>-3584</v>
      </c>
      <c r="F9" s="145">
        <v>-3452</v>
      </c>
      <c r="G9" s="237">
        <v>-14528</v>
      </c>
      <c r="H9" s="145">
        <v>-3440</v>
      </c>
      <c r="I9" s="145">
        <v>-2322</v>
      </c>
      <c r="J9" s="145">
        <v>-2956</v>
      </c>
      <c r="K9" s="145">
        <v>-3167</v>
      </c>
      <c r="L9" s="237">
        <v>-11885</v>
      </c>
      <c r="M9" s="145">
        <v>-3425</v>
      </c>
      <c r="N9" s="145">
        <v>-3007</v>
      </c>
      <c r="O9" s="145">
        <v>-4702</v>
      </c>
      <c r="P9" s="145">
        <v>-5564</v>
      </c>
      <c r="Q9" s="237">
        <v>-16698</v>
      </c>
      <c r="R9" s="145">
        <v>-6952</v>
      </c>
      <c r="S9" s="145">
        <v>-7789</v>
      </c>
      <c r="T9" s="145">
        <v>-6858</v>
      </c>
      <c r="U9" s="145">
        <v>-6311</v>
      </c>
      <c r="V9" s="237">
        <v>-27910</v>
      </c>
      <c r="W9" s="145">
        <v>-6071</v>
      </c>
      <c r="X9" s="145">
        <v>-5313</v>
      </c>
      <c r="Y9" s="145">
        <v>-5189</v>
      </c>
      <c r="Z9" s="145">
        <v>-4321</v>
      </c>
      <c r="AA9" s="237">
        <v>-20894</v>
      </c>
      <c r="AB9" s="145">
        <v>-5046</v>
      </c>
      <c r="AC9" s="145">
        <v>-5353</v>
      </c>
      <c r="AD9" s="145">
        <v>-5173</v>
      </c>
      <c r="AE9" s="145">
        <v>-5099</v>
      </c>
      <c r="AF9" s="237">
        <v>-20688</v>
      </c>
      <c r="AG9" s="577"/>
      <c r="AH9" s="467"/>
    </row>
    <row r="10" spans="2:34" s="1" customFormat="1" ht="11.25">
      <c r="B10" s="20" t="str">
        <f>names!A461</f>
        <v>Pozostałe przychody operacyjne</v>
      </c>
      <c r="C10" s="131">
        <v>35</v>
      </c>
      <c r="D10" s="131">
        <v>44</v>
      </c>
      <c r="E10" s="131">
        <v>54</v>
      </c>
      <c r="F10" s="131">
        <v>49</v>
      </c>
      <c r="G10" s="229">
        <v>182</v>
      </c>
      <c r="H10" s="131">
        <v>56</v>
      </c>
      <c r="I10" s="131">
        <v>27</v>
      </c>
      <c r="J10" s="131">
        <v>59</v>
      </c>
      <c r="K10" s="131">
        <v>295</v>
      </c>
      <c r="L10" s="229">
        <v>435</v>
      </c>
      <c r="M10" s="131">
        <v>281</v>
      </c>
      <c r="N10" s="131">
        <v>362</v>
      </c>
      <c r="O10" s="131">
        <v>246</v>
      </c>
      <c r="P10" s="131">
        <v>777</v>
      </c>
      <c r="Q10" s="229">
        <v>1666</v>
      </c>
      <c r="R10" s="131">
        <v>237</v>
      </c>
      <c r="S10" s="131">
        <v>127</v>
      </c>
      <c r="T10" s="131">
        <v>91</v>
      </c>
      <c r="U10" s="131">
        <v>176</v>
      </c>
      <c r="V10" s="229">
        <v>631</v>
      </c>
      <c r="W10" s="131">
        <v>238</v>
      </c>
      <c r="X10" s="131">
        <v>147</v>
      </c>
      <c r="Y10" s="131">
        <v>151</v>
      </c>
      <c r="Z10" s="131">
        <v>150</v>
      </c>
      <c r="AA10" s="229">
        <v>711</v>
      </c>
      <c r="AB10" s="131">
        <v>80</v>
      </c>
      <c r="AC10" s="131">
        <v>27</v>
      </c>
      <c r="AD10" s="131">
        <v>54</v>
      </c>
      <c r="AE10" s="131">
        <v>38</v>
      </c>
      <c r="AF10" s="229">
        <v>199</v>
      </c>
      <c r="AG10" s="577"/>
      <c r="AH10" s="467"/>
    </row>
    <row r="11" spans="2:34" s="1" customFormat="1" ht="11.25">
      <c r="B11" s="20" t="str">
        <f>names!A462</f>
        <v>Pozostałe koszty operacyjne</v>
      </c>
      <c r="C11" s="131">
        <v>-11</v>
      </c>
      <c r="D11" s="131">
        <v>-6</v>
      </c>
      <c r="E11" s="131">
        <v>-13</v>
      </c>
      <c r="F11" s="131">
        <v>-38</v>
      </c>
      <c r="G11" s="229">
        <v>-68</v>
      </c>
      <c r="H11" s="131">
        <v>-2</v>
      </c>
      <c r="I11" s="131">
        <v>0</v>
      </c>
      <c r="J11" s="131">
        <v>-8</v>
      </c>
      <c r="K11" s="131">
        <v>-34</v>
      </c>
      <c r="L11" s="229">
        <v>-42</v>
      </c>
      <c r="M11" s="131">
        <v>-23</v>
      </c>
      <c r="N11" s="131">
        <v>-14</v>
      </c>
      <c r="O11" s="131">
        <v>-8</v>
      </c>
      <c r="P11" s="131">
        <v>-82</v>
      </c>
      <c r="Q11" s="229">
        <v>-127</v>
      </c>
      <c r="R11" s="131">
        <v>-749</v>
      </c>
      <c r="S11" s="131">
        <v>-4</v>
      </c>
      <c r="T11" s="131">
        <v>-71</v>
      </c>
      <c r="U11" s="131">
        <v>-110</v>
      </c>
      <c r="V11" s="229">
        <v>-934</v>
      </c>
      <c r="W11" s="131">
        <v>-27</v>
      </c>
      <c r="X11" s="131">
        <v>-43</v>
      </c>
      <c r="Y11" s="131">
        <v>-49</v>
      </c>
      <c r="Z11" s="131">
        <v>-10341</v>
      </c>
      <c r="AA11" s="229">
        <v>-10460</v>
      </c>
      <c r="AB11" s="131">
        <v>-723</v>
      </c>
      <c r="AC11" s="131">
        <v>-733</v>
      </c>
      <c r="AD11" s="131">
        <v>-1016</v>
      </c>
      <c r="AE11" s="131">
        <v>-515</v>
      </c>
      <c r="AF11" s="229">
        <v>-11910</v>
      </c>
      <c r="AG11" s="577"/>
      <c r="AH11" s="467"/>
    </row>
    <row r="12" spans="2:34" s="1" customFormat="1" ht="11.25">
      <c r="B12" s="203" t="str">
        <f>names!A463</f>
        <v>Pozostałe przychody/koszty operacyjne netto</v>
      </c>
      <c r="C12" s="147">
        <f>C10+C11</f>
        <v>24</v>
      </c>
      <c r="D12" s="147">
        <f>D10+D11</f>
        <v>38</v>
      </c>
      <c r="E12" s="147">
        <f>E10+E11</f>
        <v>41</v>
      </c>
      <c r="F12" s="147">
        <f>F10+F11</f>
        <v>11</v>
      </c>
      <c r="G12" s="236">
        <f>G10+G11</f>
        <v>114</v>
      </c>
      <c r="H12" s="147">
        <v>54</v>
      </c>
      <c r="I12" s="147">
        <v>27</v>
      </c>
      <c r="J12" s="147">
        <v>51</v>
      </c>
      <c r="K12" s="147">
        <v>261</v>
      </c>
      <c r="L12" s="236">
        <v>393</v>
      </c>
      <c r="M12" s="147">
        <v>258</v>
      </c>
      <c r="N12" s="147">
        <v>348</v>
      </c>
      <c r="O12" s="147">
        <v>238</v>
      </c>
      <c r="P12" s="147">
        <v>695</v>
      </c>
      <c r="Q12" s="236">
        <v>1539</v>
      </c>
      <c r="R12" s="147">
        <v>-512</v>
      </c>
      <c r="S12" s="147">
        <v>123</v>
      </c>
      <c r="T12" s="147">
        <v>20</v>
      </c>
      <c r="U12" s="147">
        <v>66</v>
      </c>
      <c r="V12" s="236">
        <v>-303</v>
      </c>
      <c r="W12" s="147">
        <v>211</v>
      </c>
      <c r="X12" s="147">
        <v>104</v>
      </c>
      <c r="Y12" s="147">
        <v>102</v>
      </c>
      <c r="Z12" s="147">
        <v>-10191</v>
      </c>
      <c r="AA12" s="236">
        <v>-9749</v>
      </c>
      <c r="AB12" s="147">
        <v>-643</v>
      </c>
      <c r="AC12" s="147">
        <v>-706</v>
      </c>
      <c r="AD12" s="147">
        <v>-962</v>
      </c>
      <c r="AE12" s="147">
        <v>-477</v>
      </c>
      <c r="AF12" s="236">
        <v>-11711</v>
      </c>
      <c r="AG12" s="577"/>
      <c r="AH12" s="467"/>
    </row>
    <row r="13" spans="2:34" s="1" customFormat="1" ht="22.5">
      <c r="B13" s="94" t="str">
        <f>names!A464</f>
        <v>(Strata)/odwrócenie straty z tytułu utraty wartości należności handlowych (w tym odsetek od należności handlowych)</v>
      </c>
      <c r="C13" s="133">
        <v>0</v>
      </c>
      <c r="D13" s="133">
        <v>0</v>
      </c>
      <c r="E13" s="133">
        <v>-1</v>
      </c>
      <c r="F13" s="133">
        <v>-1</v>
      </c>
      <c r="G13" s="230">
        <v>-2</v>
      </c>
      <c r="H13" s="133">
        <v>0</v>
      </c>
      <c r="I13" s="133">
        <v>0</v>
      </c>
      <c r="J13" s="133">
        <v>1</v>
      </c>
      <c r="K13" s="133">
        <v>-1</v>
      </c>
      <c r="L13" s="230">
        <v>0</v>
      </c>
      <c r="M13" s="133">
        <v>0</v>
      </c>
      <c r="N13" s="133">
        <v>-1</v>
      </c>
      <c r="O13" s="133">
        <v>-1</v>
      </c>
      <c r="P13" s="133">
        <v>0</v>
      </c>
      <c r="Q13" s="230">
        <v>-2</v>
      </c>
      <c r="R13" s="133">
        <v>1</v>
      </c>
      <c r="S13" s="133">
        <v>0</v>
      </c>
      <c r="T13" s="133">
        <v>-1</v>
      </c>
      <c r="U13" s="133">
        <v>-4</v>
      </c>
      <c r="V13" s="230">
        <v>-4</v>
      </c>
      <c r="W13" s="133">
        <v>1</v>
      </c>
      <c r="X13" s="133">
        <v>0</v>
      </c>
      <c r="Y13" s="133">
        <v>-6</v>
      </c>
      <c r="Z13" s="133">
        <v>-1</v>
      </c>
      <c r="AA13" s="230">
        <v>-6</v>
      </c>
      <c r="AB13" s="133">
        <v>0</v>
      </c>
      <c r="AC13" s="133">
        <v>0</v>
      </c>
      <c r="AD13" s="133">
        <v>-1</v>
      </c>
      <c r="AE13" s="133">
        <v>-17</v>
      </c>
      <c r="AF13" s="230">
        <v>-18</v>
      </c>
      <c r="AG13" s="577"/>
      <c r="AH13" s="467"/>
    </row>
    <row r="14" spans="2:34" s="1" customFormat="1" ht="12" thickBot="1">
      <c r="B14" s="394" t="str">
        <f>names!A465</f>
        <v>Udział w wyniku finansowym jednostek wycenianych metodą praw własności</v>
      </c>
      <c r="C14" s="150">
        <v>44</v>
      </c>
      <c r="D14" s="150">
        <v>38</v>
      </c>
      <c r="E14" s="150">
        <v>35</v>
      </c>
      <c r="F14" s="150">
        <v>19</v>
      </c>
      <c r="G14" s="238">
        <v>136</v>
      </c>
      <c r="H14" s="150">
        <v>12</v>
      </c>
      <c r="I14" s="150">
        <v>55</v>
      </c>
      <c r="J14" s="150">
        <v>34</v>
      </c>
      <c r="K14" s="150">
        <v>42</v>
      </c>
      <c r="L14" s="238">
        <v>143</v>
      </c>
      <c r="M14" s="150">
        <v>81</v>
      </c>
      <c r="N14" s="150">
        <v>95</v>
      </c>
      <c r="O14" s="150">
        <v>90</v>
      </c>
      <c r="P14" s="150">
        <v>122</v>
      </c>
      <c r="Q14" s="238">
        <v>388</v>
      </c>
      <c r="R14" s="150">
        <v>107</v>
      </c>
      <c r="S14" s="150">
        <v>88</v>
      </c>
      <c r="T14" s="150">
        <v>19</v>
      </c>
      <c r="U14" s="150">
        <v>5</v>
      </c>
      <c r="V14" s="238">
        <v>219</v>
      </c>
      <c r="W14" s="150">
        <v>0</v>
      </c>
      <c r="X14" s="150">
        <v>-1</v>
      </c>
      <c r="Y14" s="150">
        <v>7</v>
      </c>
      <c r="Z14" s="150">
        <v>0</v>
      </c>
      <c r="AA14" s="238">
        <v>0</v>
      </c>
      <c r="AB14" s="150">
        <v>-14</v>
      </c>
      <c r="AC14" s="150">
        <v>12</v>
      </c>
      <c r="AD14" s="150">
        <v>-3</v>
      </c>
      <c r="AE14" s="150">
        <v>0</v>
      </c>
      <c r="AF14" s="238">
        <v>0</v>
      </c>
      <c r="AG14" s="577"/>
      <c r="AH14" s="467"/>
    </row>
    <row r="15" spans="2:34" s="1" customFormat="1" ht="23.25" thickBot="1">
      <c r="B15" s="58" t="str">
        <f>names!A466</f>
        <v>Zysk/(Strata) operacyjna wg LIFO powiększona o amortyzację 
(EBITDA LIFO) przed odpisami aktualizującymi</v>
      </c>
      <c r="C15" s="148">
        <f>C16+7</f>
        <v>708</v>
      </c>
      <c r="D15" s="148">
        <f>D16+5</f>
        <v>708</v>
      </c>
      <c r="E15" s="148">
        <f>E16+9</f>
        <v>721</v>
      </c>
      <c r="F15" s="148">
        <f>F16+28</f>
        <v>177</v>
      </c>
      <c r="G15" s="202">
        <f>G16+49</f>
        <v>2314.0000000000018</v>
      </c>
      <c r="H15" s="148">
        <v>766</v>
      </c>
      <c r="I15" s="148">
        <f>251</f>
        <v>251</v>
      </c>
      <c r="J15" s="148">
        <v>502</v>
      </c>
      <c r="K15" s="148">
        <v>790</v>
      </c>
      <c r="L15" s="202">
        <v>2309</v>
      </c>
      <c r="M15" s="148">
        <v>872</v>
      </c>
      <c r="N15" s="148">
        <v>1021</v>
      </c>
      <c r="O15" s="148">
        <v>1013</v>
      </c>
      <c r="P15" s="148">
        <v>1389</v>
      </c>
      <c r="Q15" s="202">
        <v>4295</v>
      </c>
      <c r="R15" s="148">
        <v>451</v>
      </c>
      <c r="S15" s="148">
        <v>1643</v>
      </c>
      <c r="T15" s="148">
        <v>698</v>
      </c>
      <c r="U15" s="148">
        <v>581</v>
      </c>
      <c r="V15" s="202">
        <v>3373</v>
      </c>
      <c r="W15" s="148">
        <v>98</v>
      </c>
      <c r="X15" s="148">
        <v>-120</v>
      </c>
      <c r="Y15" s="148">
        <v>-136</v>
      </c>
      <c r="Z15" s="148">
        <v>-327</v>
      </c>
      <c r="AA15" s="202">
        <v>-466</v>
      </c>
      <c r="AB15" s="148">
        <v>4</v>
      </c>
      <c r="AC15" s="148">
        <v>-180</v>
      </c>
      <c r="AD15" s="148">
        <v>-118</v>
      </c>
      <c r="AE15" s="148">
        <v>-748</v>
      </c>
      <c r="AF15" s="202">
        <v>-1088</v>
      </c>
      <c r="AG15" s="577"/>
      <c r="AH15" s="467"/>
    </row>
    <row r="16" spans="2:34" s="56" customFormat="1" ht="23.25" thickBot="1">
      <c r="B16" s="59" t="str">
        <f>names!A467</f>
        <v>Zysk/(Strata) operacyjna wg LIFO powiększona o amortyzację 
(EBITDA LIFO)</v>
      </c>
      <c r="C16" s="146">
        <f>C17-19</f>
        <v>701</v>
      </c>
      <c r="D16" s="146">
        <f>D17+11</f>
        <v>703</v>
      </c>
      <c r="E16" s="146">
        <f>E17+32</f>
        <v>712</v>
      </c>
      <c r="F16" s="146">
        <f>F17-38</f>
        <v>149</v>
      </c>
      <c r="G16" s="235">
        <f>G17-14</f>
        <v>2265.0000000000018</v>
      </c>
      <c r="H16" s="146">
        <v>766</v>
      </c>
      <c r="I16" s="146">
        <v>251</v>
      </c>
      <c r="J16" s="146">
        <v>501</v>
      </c>
      <c r="K16" s="146">
        <v>781</v>
      </c>
      <c r="L16" s="235">
        <v>2299</v>
      </c>
      <c r="M16" s="146">
        <v>872</v>
      </c>
      <c r="N16" s="146">
        <v>1021</v>
      </c>
      <c r="O16" s="146">
        <v>1013</v>
      </c>
      <c r="P16" s="146">
        <v>1419</v>
      </c>
      <c r="Q16" s="235">
        <v>4325</v>
      </c>
      <c r="R16" s="146">
        <v>451</v>
      </c>
      <c r="S16" s="146">
        <v>1643</v>
      </c>
      <c r="T16" s="146">
        <v>698</v>
      </c>
      <c r="U16" s="146">
        <v>490</v>
      </c>
      <c r="V16" s="235">
        <v>3282</v>
      </c>
      <c r="W16" s="146">
        <v>98</v>
      </c>
      <c r="X16" s="146">
        <v>-123</v>
      </c>
      <c r="Y16" s="146">
        <v>-136</v>
      </c>
      <c r="Z16" s="146">
        <v>-10450</v>
      </c>
      <c r="AA16" s="235">
        <v>-10592</v>
      </c>
      <c r="AB16" s="146">
        <v>-662</v>
      </c>
      <c r="AC16" s="146">
        <v>-640</v>
      </c>
      <c r="AD16" s="146">
        <v>-1040</v>
      </c>
      <c r="AE16" s="146">
        <v>-744</v>
      </c>
      <c r="AF16" s="235">
        <v>-12005</v>
      </c>
      <c r="AG16" s="577"/>
      <c r="AH16" s="467"/>
    </row>
    <row r="17" spans="2:34" s="56" customFormat="1" ht="12" thickBot="1">
      <c r="B17" s="386" t="str">
        <f>names!A468</f>
        <v>Zysk/(Strata) operacyjna powiększona o amortyzację (EBITDA)</v>
      </c>
      <c r="C17" s="148">
        <v>720</v>
      </c>
      <c r="D17" s="148">
        <v>692</v>
      </c>
      <c r="E17" s="148">
        <v>680</v>
      </c>
      <c r="F17" s="148">
        <v>187</v>
      </c>
      <c r="G17" s="202">
        <v>2279.0000000000018</v>
      </c>
      <c r="H17" s="148">
        <v>640</v>
      </c>
      <c r="I17" s="148">
        <v>311</v>
      </c>
      <c r="J17" s="148">
        <v>498</v>
      </c>
      <c r="K17" s="148">
        <v>756</v>
      </c>
      <c r="L17" s="202">
        <v>2205</v>
      </c>
      <c r="M17" s="148">
        <v>940</v>
      </c>
      <c r="N17" s="148">
        <v>1061</v>
      </c>
      <c r="O17" s="148">
        <v>1043</v>
      </c>
      <c r="P17" s="148">
        <v>1475</v>
      </c>
      <c r="Q17" s="202">
        <v>4519</v>
      </c>
      <c r="R17" s="148">
        <v>546</v>
      </c>
      <c r="S17" s="148">
        <v>1633</v>
      </c>
      <c r="T17" s="148">
        <v>624</v>
      </c>
      <c r="U17" s="148">
        <v>477</v>
      </c>
      <c r="V17" s="202">
        <v>3280</v>
      </c>
      <c r="W17" s="148">
        <v>85</v>
      </c>
      <c r="X17" s="148">
        <v>-157</v>
      </c>
      <c r="Y17" s="148">
        <v>-118</v>
      </c>
      <c r="Z17" s="148">
        <v>-10465</v>
      </c>
      <c r="AA17" s="202">
        <v>-10636</v>
      </c>
      <c r="AB17" s="148">
        <v>-621</v>
      </c>
      <c r="AC17" s="148">
        <v>-646</v>
      </c>
      <c r="AD17" s="148">
        <v>-1041</v>
      </c>
      <c r="AE17" s="148">
        <v>-786</v>
      </c>
      <c r="AF17" s="202">
        <v>-12013</v>
      </c>
      <c r="AG17" s="577"/>
      <c r="AH17" s="467"/>
    </row>
    <row r="18" spans="2:34" s="1" customFormat="1" ht="23.25" customHeight="1" thickBot="1">
      <c r="B18" s="58" t="str">
        <f>names!A469</f>
        <v>Zysk/(Strata) operacyjna wg LIFO (EBIT LIFO) przed odpisami aktualizującymi</v>
      </c>
      <c r="C18" s="148">
        <f>C19+7</f>
        <v>515</v>
      </c>
      <c r="D18" s="148">
        <f>D19+5</f>
        <v>510</v>
      </c>
      <c r="E18" s="148">
        <f>E19+9</f>
        <v>516</v>
      </c>
      <c r="F18" s="148">
        <f>F19+28</f>
        <v>-36</v>
      </c>
      <c r="G18" s="202">
        <f>G19+49</f>
        <v>1505</v>
      </c>
      <c r="H18" s="148">
        <v>539</v>
      </c>
      <c r="I18" s="148">
        <v>20</v>
      </c>
      <c r="J18" s="148">
        <v>278</v>
      </c>
      <c r="K18" s="148">
        <v>558</v>
      </c>
      <c r="L18" s="202">
        <v>1395</v>
      </c>
      <c r="M18" s="148">
        <v>623</v>
      </c>
      <c r="N18" s="148">
        <v>788</v>
      </c>
      <c r="O18" s="148">
        <v>772</v>
      </c>
      <c r="P18" s="148">
        <v>1083</v>
      </c>
      <c r="Q18" s="202">
        <v>3266</v>
      </c>
      <c r="R18" s="148">
        <v>182</v>
      </c>
      <c r="S18" s="148">
        <v>1370</v>
      </c>
      <c r="T18" s="148">
        <v>424</v>
      </c>
      <c r="U18" s="148">
        <v>293</v>
      </c>
      <c r="V18" s="202">
        <v>2269</v>
      </c>
      <c r="W18" s="148">
        <v>-193</v>
      </c>
      <c r="X18" s="148">
        <v>-408</v>
      </c>
      <c r="Y18" s="148">
        <v>-425</v>
      </c>
      <c r="Z18" s="148">
        <v>-615</v>
      </c>
      <c r="AA18" s="202">
        <v>-1622</v>
      </c>
      <c r="AB18" s="148">
        <v>-192</v>
      </c>
      <c r="AC18" s="148">
        <v>-376</v>
      </c>
      <c r="AD18" s="148">
        <v>-336</v>
      </c>
      <c r="AE18" s="148">
        <v>-959</v>
      </c>
      <c r="AF18" s="202">
        <v>-1925</v>
      </c>
      <c r="AG18" s="577"/>
      <c r="AH18" s="467"/>
    </row>
    <row r="19" spans="2:34" s="56" customFormat="1" ht="12" thickBot="1">
      <c r="B19" s="59" t="str">
        <f>names!A470</f>
        <v>Zysk/(Strata) operacyjna wg LIFO (EBIT LIFO)</v>
      </c>
      <c r="C19" s="146">
        <f>C20-19</f>
        <v>508</v>
      </c>
      <c r="D19" s="146">
        <f>D20+11</f>
        <v>505</v>
      </c>
      <c r="E19" s="146">
        <f>E20+32</f>
        <v>507</v>
      </c>
      <c r="F19" s="146">
        <f>F20-38</f>
        <v>-64</v>
      </c>
      <c r="G19" s="235">
        <f>G20-14</f>
        <v>1456</v>
      </c>
      <c r="H19" s="146">
        <v>539</v>
      </c>
      <c r="I19" s="146">
        <v>20</v>
      </c>
      <c r="J19" s="146">
        <v>277</v>
      </c>
      <c r="K19" s="146">
        <v>549</v>
      </c>
      <c r="L19" s="235">
        <v>1385</v>
      </c>
      <c r="M19" s="146">
        <v>623</v>
      </c>
      <c r="N19" s="146">
        <v>788</v>
      </c>
      <c r="O19" s="146">
        <v>772</v>
      </c>
      <c r="P19" s="146">
        <v>1113</v>
      </c>
      <c r="Q19" s="235">
        <v>3296</v>
      </c>
      <c r="R19" s="146">
        <v>182</v>
      </c>
      <c r="S19" s="146">
        <v>1370</v>
      </c>
      <c r="T19" s="146">
        <v>424</v>
      </c>
      <c r="U19" s="146">
        <v>202</v>
      </c>
      <c r="V19" s="235">
        <v>2178</v>
      </c>
      <c r="W19" s="146">
        <v>-193</v>
      </c>
      <c r="X19" s="146">
        <v>-411</v>
      </c>
      <c r="Y19" s="146">
        <v>-425</v>
      </c>
      <c r="Z19" s="146">
        <v>-10738</v>
      </c>
      <c r="AA19" s="235">
        <v>-11748</v>
      </c>
      <c r="AB19" s="146">
        <v>-858</v>
      </c>
      <c r="AC19" s="146">
        <v>-836</v>
      </c>
      <c r="AD19" s="146">
        <v>-1258</v>
      </c>
      <c r="AE19" s="146">
        <v>-955</v>
      </c>
      <c r="AF19" s="235">
        <v>-12842</v>
      </c>
      <c r="AG19" s="577"/>
      <c r="AH19" s="467"/>
    </row>
    <row r="20" spans="2:34" s="56" customFormat="1" ht="12" thickBot="1">
      <c r="B20" s="58" t="str">
        <f>names!A471</f>
        <v>Zysk/(Strata) operacyjna (EBIT)</v>
      </c>
      <c r="C20" s="148">
        <f>C6+C9+C12+C13+C14</f>
        <v>527</v>
      </c>
      <c r="D20" s="148">
        <f>D6+D9+D12+D13+D14</f>
        <v>494</v>
      </c>
      <c r="E20" s="148">
        <f>E6+E9+E12+E13+E14</f>
        <v>475</v>
      </c>
      <c r="F20" s="148">
        <f>F6+F9+F12+F13+F14</f>
        <v>-26</v>
      </c>
      <c r="G20" s="202">
        <f>G6+G9+G12+G13+G14</f>
        <v>1470</v>
      </c>
      <c r="H20" s="148">
        <v>413</v>
      </c>
      <c r="I20" s="148">
        <v>80</v>
      </c>
      <c r="J20" s="148">
        <v>274</v>
      </c>
      <c r="K20" s="148">
        <v>524</v>
      </c>
      <c r="L20" s="202">
        <v>1291</v>
      </c>
      <c r="M20" s="148">
        <v>691</v>
      </c>
      <c r="N20" s="148">
        <v>828</v>
      </c>
      <c r="O20" s="148">
        <v>802</v>
      </c>
      <c r="P20" s="148">
        <v>1169</v>
      </c>
      <c r="Q20" s="202">
        <v>3490</v>
      </c>
      <c r="R20" s="148">
        <v>277</v>
      </c>
      <c r="S20" s="148">
        <v>1360</v>
      </c>
      <c r="T20" s="148">
        <v>350</v>
      </c>
      <c r="U20" s="148">
        <v>189</v>
      </c>
      <c r="V20" s="202">
        <v>2176</v>
      </c>
      <c r="W20" s="148">
        <v>-206</v>
      </c>
      <c r="X20" s="148">
        <v>-445</v>
      </c>
      <c r="Y20" s="148">
        <v>-407</v>
      </c>
      <c r="Z20" s="148">
        <v>-10753</v>
      </c>
      <c r="AA20" s="202">
        <v>-11792</v>
      </c>
      <c r="AB20" s="148">
        <v>-817</v>
      </c>
      <c r="AC20" s="148">
        <v>-842</v>
      </c>
      <c r="AD20" s="148">
        <v>-1259</v>
      </c>
      <c r="AE20" s="148">
        <v>-997</v>
      </c>
      <c r="AF20" s="202">
        <v>-12850</v>
      </c>
      <c r="AG20" s="577"/>
      <c r="AH20" s="467"/>
    </row>
    <row r="21" spans="2:34" s="1" customFormat="1" ht="11.25">
      <c r="B21" s="51" t="str">
        <f>names!A472</f>
        <v>Zwiększenie aktywów trwałych</v>
      </c>
      <c r="C21" s="151">
        <v>138</v>
      </c>
      <c r="D21" s="151">
        <v>115</v>
      </c>
      <c r="E21" s="151">
        <v>213</v>
      </c>
      <c r="F21" s="151">
        <v>484</v>
      </c>
      <c r="G21" s="239">
        <v>950</v>
      </c>
      <c r="H21" s="151">
        <v>240</v>
      </c>
      <c r="I21" s="151">
        <v>571</v>
      </c>
      <c r="J21" s="151">
        <v>344</v>
      </c>
      <c r="K21" s="151">
        <v>757</v>
      </c>
      <c r="L21" s="239">
        <v>1912</v>
      </c>
      <c r="M21" s="151">
        <v>523</v>
      </c>
      <c r="N21" s="151">
        <v>871</v>
      </c>
      <c r="O21" s="151">
        <v>819</v>
      </c>
      <c r="P21" s="151">
        <v>838</v>
      </c>
      <c r="Q21" s="239">
        <v>3051</v>
      </c>
      <c r="R21" s="151">
        <v>1312</v>
      </c>
      <c r="S21" s="151">
        <v>1146</v>
      </c>
      <c r="T21" s="151">
        <v>1361</v>
      </c>
      <c r="U21" s="151">
        <v>1246</v>
      </c>
      <c r="V21" s="239">
        <v>5065</v>
      </c>
      <c r="W21" s="151">
        <v>638</v>
      </c>
      <c r="X21" s="151">
        <v>1383</v>
      </c>
      <c r="Y21" s="151">
        <v>2013</v>
      </c>
      <c r="Z21" s="151">
        <v>1826</v>
      </c>
      <c r="AA21" s="239">
        <v>5860</v>
      </c>
      <c r="AB21" s="151">
        <v>1417</v>
      </c>
      <c r="AC21" s="151">
        <v>1304</v>
      </c>
      <c r="AD21" s="151">
        <v>1035</v>
      </c>
      <c r="AE21" s="151">
        <v>1929</v>
      </c>
      <c r="AF21" s="239">
        <v>5685</v>
      </c>
      <c r="AG21" s="577"/>
      <c r="AH21" s="467"/>
    </row>
    <row r="22" spans="2:34" s="56" customFormat="1" ht="11.25">
      <c r="B22" s="94" t="str">
        <f>names!A473</f>
        <v>Sprzedaż produktów (tys. ton)</v>
      </c>
      <c r="C22" s="133">
        <v>1363</v>
      </c>
      <c r="D22" s="133">
        <v>1298</v>
      </c>
      <c r="E22" s="133">
        <v>1342</v>
      </c>
      <c r="F22" s="133">
        <v>1184</v>
      </c>
      <c r="G22" s="230">
        <v>5187</v>
      </c>
      <c r="H22" s="133">
        <v>1303</v>
      </c>
      <c r="I22" s="133">
        <v>1081</v>
      </c>
      <c r="J22" s="133">
        <v>1337</v>
      </c>
      <c r="K22" s="133">
        <v>1385</v>
      </c>
      <c r="L22" s="230">
        <v>5106</v>
      </c>
      <c r="M22" s="133">
        <v>1271</v>
      </c>
      <c r="N22" s="133">
        <v>1039</v>
      </c>
      <c r="O22" s="133">
        <v>1309</v>
      </c>
      <c r="P22" s="133">
        <v>1287</v>
      </c>
      <c r="Q22" s="230">
        <v>4906</v>
      </c>
      <c r="R22" s="133">
        <v>1397</v>
      </c>
      <c r="S22" s="133">
        <v>1362</v>
      </c>
      <c r="T22" s="133">
        <v>1121</v>
      </c>
      <c r="U22" s="133">
        <v>1133</v>
      </c>
      <c r="V22" s="230">
        <v>5013</v>
      </c>
      <c r="W22" s="133">
        <v>1119</v>
      </c>
      <c r="X22" s="133">
        <v>1141</v>
      </c>
      <c r="Y22" s="133">
        <v>1142</v>
      </c>
      <c r="Z22" s="133">
        <v>977</v>
      </c>
      <c r="AA22" s="230">
        <v>4379</v>
      </c>
      <c r="AB22" s="133">
        <v>1218</v>
      </c>
      <c r="AC22" s="133">
        <v>1227</v>
      </c>
      <c r="AD22" s="133">
        <v>1178</v>
      </c>
      <c r="AE22" s="133">
        <v>1165</v>
      </c>
      <c r="AF22" s="230">
        <v>4788</v>
      </c>
      <c r="AG22" s="577"/>
      <c r="AH22" s="467"/>
    </row>
    <row r="23" spans="2:34" s="56" customFormat="1" ht="7.5" customHeight="1">
      <c r="B23" s="1005"/>
      <c r="C23" s="1005"/>
      <c r="D23" s="1005"/>
      <c r="E23" s="1005"/>
      <c r="F23" s="1005"/>
      <c r="G23" s="1005"/>
      <c r="H23" s="1005"/>
      <c r="I23" s="131"/>
      <c r="J23" s="131"/>
      <c r="K23" s="131"/>
      <c r="L23" s="496"/>
      <c r="N23" s="131"/>
      <c r="O23" s="131"/>
      <c r="P23" s="131"/>
      <c r="Q23" s="496"/>
      <c r="S23" s="131"/>
      <c r="T23" s="131"/>
      <c r="U23" s="131"/>
      <c r="V23" s="496"/>
      <c r="X23" s="131"/>
      <c r="Y23" s="131"/>
      <c r="Z23" s="131"/>
      <c r="AA23" s="496"/>
      <c r="AC23" s="131"/>
      <c r="AD23" s="131"/>
      <c r="AE23" s="131"/>
      <c r="AF23" s="496"/>
      <c r="AG23" s="577"/>
      <c r="AH23" s="1"/>
    </row>
    <row r="24" spans="2:34">
      <c r="B24" s="1004" t="str">
        <f>names!A475</f>
        <v>*) Dane przekształcone.</v>
      </c>
      <c r="C24" s="1004"/>
      <c r="D24" s="1004"/>
      <c r="E24" s="1004"/>
      <c r="F24" s="1004"/>
      <c r="G24" s="1004"/>
      <c r="H24" s="1004"/>
      <c r="AG24" s="577"/>
      <c r="AH24" s="1"/>
    </row>
    <row r="25" spans="2:34">
      <c r="E25" s="370"/>
      <c r="F25" s="370"/>
      <c r="G25" s="370"/>
      <c r="J25" s="370"/>
      <c r="K25" s="370"/>
      <c r="L25" s="370"/>
      <c r="O25" s="370"/>
      <c r="P25" s="370"/>
      <c r="Q25" s="370"/>
      <c r="T25" s="370"/>
      <c r="U25" s="370"/>
      <c r="V25" s="370"/>
      <c r="Y25" s="370"/>
      <c r="Z25" s="370"/>
      <c r="AA25" s="370"/>
      <c r="AD25" s="370"/>
      <c r="AE25" s="370"/>
      <c r="AF25" s="370"/>
      <c r="AH25" s="1"/>
    </row>
    <row r="26" spans="2:34">
      <c r="B26" s="577"/>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row>
    <row r="27" spans="2:34">
      <c r="B27" s="768"/>
      <c r="C27" s="370"/>
      <c r="H27" s="370"/>
      <c r="M27" s="370"/>
      <c r="R27" s="370"/>
      <c r="W27" s="370"/>
      <c r="AB27" s="370"/>
    </row>
    <row r="28" spans="2:3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row>
    <row r="30" spans="2:34">
      <c r="C30" s="370"/>
      <c r="D30" s="370"/>
      <c r="E30" s="370"/>
      <c r="F30" s="370"/>
      <c r="G30" s="370"/>
    </row>
    <row r="31" spans="2:34">
      <c r="C31" s="5"/>
      <c r="D31" s="5"/>
      <c r="E31" s="5"/>
      <c r="F31" s="5"/>
      <c r="G31" s="5"/>
    </row>
  </sheetData>
  <mergeCells count="2">
    <mergeCell ref="B23:H23"/>
    <mergeCell ref="B24:H24"/>
  </mergeCells>
  <conditionalFormatting sqref="B26:AF26">
    <cfRule type="cellIs" dxfId="53" priority="3" operator="equal">
      <formula>FALSE</formula>
    </cfRule>
  </conditionalFormatting>
  <conditionalFormatting sqref="AG2:AG24">
    <cfRule type="cellIs" dxfId="52"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34998626667073579"/>
    <pageSetUpPr fitToPage="1"/>
  </sheetPr>
  <dimension ref="B2:AH27"/>
  <sheetViews>
    <sheetView showGridLines="0" view="pageBreakPreview" zoomScaleNormal="100" zoomScaleSheetLayoutView="100" workbookViewId="0">
      <pane xSplit="2" ySplit="4" topLeftCell="G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62.28515625" style="16" customWidth="1"/>
    <col min="3" max="3" width="8.42578125" hidden="1" customWidth="1" outlineLevel="1"/>
    <col min="4" max="6" width="7.5703125" hidden="1" customWidth="1" outlineLevel="1"/>
    <col min="7" max="7" width="7.5703125" customWidth="1" collapsed="1"/>
    <col min="8" max="8" width="8.42578125" hidden="1" customWidth="1" outlineLevel="1"/>
    <col min="9" max="11" width="7.5703125" hidden="1" customWidth="1" outlineLevel="1"/>
    <col min="12" max="12" width="7.5703125" customWidth="1" collapsed="1"/>
    <col min="13" max="13" width="8.42578125" hidden="1" customWidth="1" outlineLevel="1"/>
    <col min="14" max="16" width="7.5703125" hidden="1" customWidth="1" outlineLevel="1"/>
    <col min="17" max="17" width="7.5703125" customWidth="1" collapsed="1"/>
    <col min="18" max="18" width="8.42578125" hidden="1" customWidth="1" outlineLevel="1"/>
    <col min="19" max="21" width="7.5703125" hidden="1" customWidth="1" outlineLevel="1"/>
    <col min="22" max="22" width="7.5703125" customWidth="1" collapsed="1"/>
    <col min="23" max="23" width="8.42578125" hidden="1" customWidth="1" outlineLevel="1"/>
    <col min="24" max="26" width="7.5703125" hidden="1" customWidth="1" outlineLevel="1"/>
    <col min="27" max="27" width="7.5703125" customWidth="1" collapsed="1"/>
    <col min="28" max="28" width="8.42578125" hidden="1" customWidth="1" outlineLevel="1"/>
    <col min="29" max="31" width="7.5703125" hidden="1" customWidth="1" outlineLevel="1"/>
    <col min="32" max="32" width="7.5703125" customWidth="1" collapsed="1"/>
  </cols>
  <sheetData>
    <row r="2" spans="2:34" ht="15.75">
      <c r="B2" s="397" t="str">
        <f>names!A480</f>
        <v>Segment Energetyka</v>
      </c>
      <c r="AG2" s="577"/>
    </row>
    <row r="3" spans="2:34" ht="10.15" customHeight="1">
      <c r="AG3" s="577"/>
    </row>
    <row r="4" spans="2:34" s="24" customFormat="1" ht="32.25" customHeight="1">
      <c r="B4" s="15" t="str">
        <f>names!A455</f>
        <v>Wyszczególnienie, 
mln PLN</v>
      </c>
      <c r="C4" s="15" t="str">
        <f>names!$A392</f>
        <v>I kw.
2019*</v>
      </c>
      <c r="D4" s="15" t="str">
        <f>names!$A394</f>
        <v>II kw.
2019*</v>
      </c>
      <c r="E4" s="15" t="str">
        <f>names!$A396</f>
        <v>III kw.
2019*</v>
      </c>
      <c r="F4" s="15" t="str">
        <f>names!$A398</f>
        <v>IV kw.
2019*</v>
      </c>
      <c r="G4" s="15" t="str">
        <f>names!$A400</f>
        <v>12 m-cy
2019*</v>
      </c>
      <c r="H4" s="15" t="str">
        <f>names!$A402</f>
        <v>I kw.
2020*</v>
      </c>
      <c r="I4" s="15" t="str">
        <f>names!$A481</f>
        <v>II kw.
2020*</v>
      </c>
      <c r="J4" s="15" t="str">
        <f>names!$A406</f>
        <v>III kw.
2020</v>
      </c>
      <c r="K4" s="15" t="str">
        <f>names!$A408</f>
        <v>IV kw.
2020</v>
      </c>
      <c r="L4" s="15" t="str">
        <f>names!$A153</f>
        <v>12 m-cy 2020</v>
      </c>
      <c r="M4" s="15" t="str">
        <f>names!A476</f>
        <v>I kw.
2021*</v>
      </c>
      <c r="N4" s="15" t="str">
        <f>names!A477</f>
        <v>II kw.
2021*</v>
      </c>
      <c r="O4" s="15" t="str">
        <f>names!$A156</f>
        <v>III kw. 
2021</v>
      </c>
      <c r="P4" s="15" t="str">
        <f>names!$A157</f>
        <v>IV kw. 
2021</v>
      </c>
      <c r="Q4" s="15" t="str">
        <f>names!A158</f>
        <v>12 m-cy 2021</v>
      </c>
      <c r="R4" s="15" t="str">
        <f>names!$A159</f>
        <v>I kw. 
2022</v>
      </c>
      <c r="S4" s="15" t="str">
        <f>names!$A160</f>
        <v>II kw. 
2022</v>
      </c>
      <c r="T4" s="15" t="str">
        <f>names!$A161</f>
        <v>III kw. 
2022</v>
      </c>
      <c r="U4" s="15" t="str">
        <f>names!$A162</f>
        <v>IV kw. 
2022</v>
      </c>
      <c r="V4" s="15" t="str">
        <f>names!$A163</f>
        <v>12 m-cy 2022</v>
      </c>
      <c r="W4" s="15" t="str">
        <f>names!$A164</f>
        <v>I kw. 
2023</v>
      </c>
      <c r="X4" s="15" t="str">
        <f>names!$A165</f>
        <v>II kw. 
2023</v>
      </c>
      <c r="Y4" s="15" t="str">
        <f>names!$A166</f>
        <v>III kw. 
2023</v>
      </c>
      <c r="Z4" s="15" t="str">
        <f>names!$A167</f>
        <v>IV kw. 
2023</v>
      </c>
      <c r="AA4" s="15" t="str">
        <f>names!$A168</f>
        <v>12 m-cy 2023</v>
      </c>
      <c r="AB4" s="15" t="str">
        <f>names!$A169</f>
        <v>I kw. 
2024</v>
      </c>
      <c r="AC4" s="15" t="str">
        <f>names!$A170</f>
        <v>II kw. 
2024</v>
      </c>
      <c r="AD4" s="15" t="str">
        <f>names!$A171</f>
        <v>III kw. 
2024</v>
      </c>
      <c r="AE4" s="15" t="str">
        <f>names!$A172</f>
        <v>IV kw. 
2024</v>
      </c>
      <c r="AF4" s="15" t="str">
        <f>names!$A173</f>
        <v>12 m-cy 2024</v>
      </c>
      <c r="AG4" s="577"/>
    </row>
    <row r="5" spans="2:34"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577"/>
    </row>
    <row r="6" spans="2:34" s="1" customFormat="1" ht="11.25">
      <c r="B6" s="59" t="str">
        <f>names!A457</f>
        <v>Przychody ze sprzedaży</v>
      </c>
      <c r="C6" s="146">
        <f>C7+C8</f>
        <v>1155</v>
      </c>
      <c r="D6" s="146">
        <f>D7+D8</f>
        <v>1263</v>
      </c>
      <c r="E6" s="146">
        <f>E7+E8</f>
        <v>1245</v>
      </c>
      <c r="F6" s="146">
        <f>F7+F8</f>
        <v>1310</v>
      </c>
      <c r="G6" s="235">
        <f>G7+G8</f>
        <v>4973</v>
      </c>
      <c r="H6" s="146">
        <v>1372</v>
      </c>
      <c r="I6" s="146">
        <v>3095</v>
      </c>
      <c r="J6" s="146">
        <v>4306</v>
      </c>
      <c r="K6" s="146">
        <v>4689</v>
      </c>
      <c r="L6" s="235">
        <v>13462</v>
      </c>
      <c r="M6" s="146">
        <v>4795</v>
      </c>
      <c r="N6" s="146">
        <v>4425</v>
      </c>
      <c r="O6" s="146">
        <v>4703</v>
      </c>
      <c r="P6" s="146">
        <v>5590</v>
      </c>
      <c r="Q6" s="235">
        <v>19513</v>
      </c>
      <c r="R6" s="146">
        <v>7097</v>
      </c>
      <c r="S6" s="146">
        <v>7851</v>
      </c>
      <c r="T6" s="146">
        <v>9100</v>
      </c>
      <c r="U6" s="146">
        <v>10753</v>
      </c>
      <c r="V6" s="235">
        <v>34801</v>
      </c>
      <c r="W6" s="146">
        <v>15319</v>
      </c>
      <c r="X6" s="146">
        <v>10928</v>
      </c>
      <c r="Y6" s="146">
        <v>10433</v>
      </c>
      <c r="Z6" s="146">
        <v>11880</v>
      </c>
      <c r="AA6" s="235">
        <v>48560</v>
      </c>
      <c r="AB6" s="146">
        <v>10973</v>
      </c>
      <c r="AC6" s="146">
        <v>8310</v>
      </c>
      <c r="AD6" s="146">
        <v>8137</v>
      </c>
      <c r="AE6" s="146">
        <v>10370</v>
      </c>
      <c r="AF6" s="235">
        <v>37790</v>
      </c>
      <c r="AG6" s="577"/>
      <c r="AH6" s="467"/>
    </row>
    <row r="7" spans="2:34" s="1" customFormat="1" ht="11.25">
      <c r="B7" s="95" t="str">
        <f>names!A458</f>
        <v>Sprzedaż zewnętrzna</v>
      </c>
      <c r="C7" s="147">
        <v>329</v>
      </c>
      <c r="D7" s="147">
        <v>440</v>
      </c>
      <c r="E7" s="147">
        <v>466</v>
      </c>
      <c r="F7" s="147">
        <v>499</v>
      </c>
      <c r="G7" s="236">
        <v>1734</v>
      </c>
      <c r="H7" s="147">
        <v>493</v>
      </c>
      <c r="I7" s="147">
        <v>2366</v>
      </c>
      <c r="J7" s="147">
        <v>3452</v>
      </c>
      <c r="K7" s="147">
        <v>3784</v>
      </c>
      <c r="L7" s="236">
        <v>10095</v>
      </c>
      <c r="M7" s="147">
        <v>3905</v>
      </c>
      <c r="N7" s="147">
        <v>3713</v>
      </c>
      <c r="O7" s="147">
        <v>3805</v>
      </c>
      <c r="P7" s="147">
        <v>4616</v>
      </c>
      <c r="Q7" s="236">
        <v>16039</v>
      </c>
      <c r="R7" s="147">
        <v>5770</v>
      </c>
      <c r="S7" s="147">
        <v>5681</v>
      </c>
      <c r="T7" s="147">
        <v>6880</v>
      </c>
      <c r="U7" s="147">
        <v>8713</v>
      </c>
      <c r="V7" s="236">
        <v>27044</v>
      </c>
      <c r="W7" s="147">
        <v>13001</v>
      </c>
      <c r="X7" s="147">
        <v>9096</v>
      </c>
      <c r="Y7" s="147">
        <v>8500</v>
      </c>
      <c r="Z7" s="147">
        <v>10341</v>
      </c>
      <c r="AA7" s="236">
        <v>40938</v>
      </c>
      <c r="AB7" s="147">
        <v>9167</v>
      </c>
      <c r="AC7" s="147">
        <v>6727</v>
      </c>
      <c r="AD7" s="147">
        <v>6446</v>
      </c>
      <c r="AE7" s="147">
        <v>8559</v>
      </c>
      <c r="AF7" s="236">
        <v>30899</v>
      </c>
      <c r="AG7" s="577"/>
      <c r="AH7" s="467"/>
    </row>
    <row r="8" spans="2:34" s="1" customFormat="1" ht="11.25">
      <c r="B8" s="25" t="str">
        <f>names!A459</f>
        <v>Sprzedaż między segmentami</v>
      </c>
      <c r="C8" s="131">
        <v>826</v>
      </c>
      <c r="D8" s="131">
        <v>823</v>
      </c>
      <c r="E8" s="131">
        <v>779</v>
      </c>
      <c r="F8" s="131">
        <v>811</v>
      </c>
      <c r="G8" s="229">
        <v>3239</v>
      </c>
      <c r="H8" s="131">
        <v>879</v>
      </c>
      <c r="I8" s="131">
        <v>729</v>
      </c>
      <c r="J8" s="131">
        <v>854</v>
      </c>
      <c r="K8" s="131">
        <v>905</v>
      </c>
      <c r="L8" s="229">
        <v>3367</v>
      </c>
      <c r="M8" s="131">
        <v>890</v>
      </c>
      <c r="N8" s="131">
        <v>712</v>
      </c>
      <c r="O8" s="131">
        <v>898</v>
      </c>
      <c r="P8" s="131">
        <v>974</v>
      </c>
      <c r="Q8" s="229">
        <v>3474</v>
      </c>
      <c r="R8" s="131">
        <v>1327</v>
      </c>
      <c r="S8" s="131">
        <v>2170</v>
      </c>
      <c r="T8" s="131">
        <v>2220</v>
      </c>
      <c r="U8" s="131">
        <v>2040</v>
      </c>
      <c r="V8" s="229">
        <v>7757</v>
      </c>
      <c r="W8" s="131">
        <v>2318</v>
      </c>
      <c r="X8" s="131">
        <v>1832</v>
      </c>
      <c r="Y8" s="131">
        <v>1933</v>
      </c>
      <c r="Z8" s="131">
        <v>1539</v>
      </c>
      <c r="AA8" s="229">
        <v>7622</v>
      </c>
      <c r="AB8" s="131">
        <v>1806</v>
      </c>
      <c r="AC8" s="131">
        <v>1583</v>
      </c>
      <c r="AD8" s="131">
        <v>1691</v>
      </c>
      <c r="AE8" s="131">
        <v>1811</v>
      </c>
      <c r="AF8" s="229">
        <v>6891</v>
      </c>
      <c r="AG8" s="577"/>
      <c r="AH8" s="467"/>
    </row>
    <row r="9" spans="2:34" s="1" customFormat="1" ht="11.25">
      <c r="B9" s="89" t="str">
        <f>names!A460</f>
        <v>Koszty operacyjne ogółem</v>
      </c>
      <c r="C9" s="145">
        <v>-1024</v>
      </c>
      <c r="D9" s="145">
        <v>-926</v>
      </c>
      <c r="E9" s="145">
        <v>-832</v>
      </c>
      <c r="F9" s="145">
        <v>-1004</v>
      </c>
      <c r="G9" s="237">
        <v>-3786</v>
      </c>
      <c r="H9" s="145">
        <v>-1002</v>
      </c>
      <c r="I9" s="145">
        <f>-2666+20</f>
        <v>-2646</v>
      </c>
      <c r="J9" s="145">
        <v>-3675</v>
      </c>
      <c r="K9" s="145">
        <v>-4033</v>
      </c>
      <c r="L9" s="237">
        <v>-11356</v>
      </c>
      <c r="M9" s="145">
        <v>-4280</v>
      </c>
      <c r="N9" s="145">
        <v>-3945</v>
      </c>
      <c r="O9" s="145">
        <v>-4269</v>
      </c>
      <c r="P9" s="145">
        <v>-6382</v>
      </c>
      <c r="Q9" s="237">
        <v>-18876</v>
      </c>
      <c r="R9" s="145">
        <v>-5974</v>
      </c>
      <c r="S9" s="145">
        <v>-7125</v>
      </c>
      <c r="T9" s="145">
        <v>-8199</v>
      </c>
      <c r="U9" s="145">
        <v>-11527</v>
      </c>
      <c r="V9" s="237">
        <v>-32825</v>
      </c>
      <c r="W9" s="145">
        <v>-13066</v>
      </c>
      <c r="X9" s="145">
        <v>-10984</v>
      </c>
      <c r="Y9" s="145">
        <v>-9852</v>
      </c>
      <c r="Z9" s="145">
        <v>-12465</v>
      </c>
      <c r="AA9" s="237">
        <v>-46367</v>
      </c>
      <c r="AB9" s="145">
        <v>-9090</v>
      </c>
      <c r="AC9" s="145">
        <v>-7238</v>
      </c>
      <c r="AD9" s="145">
        <v>-7544</v>
      </c>
      <c r="AE9" s="145">
        <v>-8788</v>
      </c>
      <c r="AF9" s="237">
        <v>-32423</v>
      </c>
      <c r="AG9" s="577"/>
      <c r="AH9" s="467"/>
    </row>
    <row r="10" spans="2:34" s="1" customFormat="1" ht="11.25">
      <c r="B10" s="20" t="str">
        <f>names!A482</f>
        <v>Pozostałe przychody operacyjne**</v>
      </c>
      <c r="C10" s="131">
        <v>7</v>
      </c>
      <c r="D10" s="131">
        <v>7</v>
      </c>
      <c r="E10" s="131">
        <v>6</v>
      </c>
      <c r="F10" s="131">
        <v>-4</v>
      </c>
      <c r="G10" s="229">
        <v>16</v>
      </c>
      <c r="H10" s="131">
        <v>2</v>
      </c>
      <c r="I10" s="131">
        <f>4119-20</f>
        <v>4099</v>
      </c>
      <c r="J10" s="131">
        <v>55</v>
      </c>
      <c r="K10" s="131">
        <v>448</v>
      </c>
      <c r="L10" s="229">
        <v>4604</v>
      </c>
      <c r="M10" s="131">
        <v>377</v>
      </c>
      <c r="N10" s="131">
        <v>329</v>
      </c>
      <c r="O10" s="131">
        <v>269</v>
      </c>
      <c r="P10" s="131">
        <v>663</v>
      </c>
      <c r="Q10" s="229">
        <v>1638</v>
      </c>
      <c r="R10" s="131">
        <v>244</v>
      </c>
      <c r="S10" s="131">
        <v>160</v>
      </c>
      <c r="T10" s="131">
        <v>620</v>
      </c>
      <c r="U10" s="131">
        <v>361</v>
      </c>
      <c r="V10" s="229">
        <v>1385</v>
      </c>
      <c r="W10" s="131">
        <v>145</v>
      </c>
      <c r="X10" s="131">
        <v>119</v>
      </c>
      <c r="Y10" s="131">
        <v>205</v>
      </c>
      <c r="Z10" s="131">
        <v>340</v>
      </c>
      <c r="AA10" s="229">
        <v>907</v>
      </c>
      <c r="AB10" s="131">
        <v>25</v>
      </c>
      <c r="AC10" s="131">
        <v>92</v>
      </c>
      <c r="AD10" s="131">
        <v>107</v>
      </c>
      <c r="AE10" s="131">
        <v>164</v>
      </c>
      <c r="AF10" s="229">
        <v>350</v>
      </c>
      <c r="AG10" s="577"/>
      <c r="AH10" s="467"/>
    </row>
    <row r="11" spans="2:34" s="1" customFormat="1" ht="11.25">
      <c r="B11" s="20" t="str">
        <f>names!A462</f>
        <v>Pozostałe koszty operacyjne</v>
      </c>
      <c r="C11" s="131">
        <v>-6</v>
      </c>
      <c r="D11" s="131">
        <v>-18</v>
      </c>
      <c r="E11" s="131">
        <v>-12</v>
      </c>
      <c r="F11" s="131">
        <v>-40</v>
      </c>
      <c r="G11" s="229">
        <v>-76</v>
      </c>
      <c r="H11" s="131">
        <v>-2</v>
      </c>
      <c r="I11" s="131">
        <v>-15</v>
      </c>
      <c r="J11" s="131">
        <v>-35</v>
      </c>
      <c r="K11" s="131">
        <v>-120</v>
      </c>
      <c r="L11" s="229">
        <v>-172</v>
      </c>
      <c r="M11" s="131">
        <v>-44</v>
      </c>
      <c r="N11" s="131">
        <v>-95</v>
      </c>
      <c r="O11" s="131">
        <v>-51</v>
      </c>
      <c r="P11" s="131">
        <v>-224</v>
      </c>
      <c r="Q11" s="229">
        <v>-414</v>
      </c>
      <c r="R11" s="131">
        <v>-787</v>
      </c>
      <c r="S11" s="131">
        <v>-145</v>
      </c>
      <c r="T11" s="131">
        <v>-334</v>
      </c>
      <c r="U11" s="131">
        <v>-131</v>
      </c>
      <c r="V11" s="229">
        <v>-1397</v>
      </c>
      <c r="W11" s="131">
        <v>-71</v>
      </c>
      <c r="X11" s="131">
        <v>-42</v>
      </c>
      <c r="Y11" s="131">
        <v>-38</v>
      </c>
      <c r="Z11" s="131">
        <v>-277</v>
      </c>
      <c r="AA11" s="229">
        <v>-428</v>
      </c>
      <c r="AB11" s="131">
        <v>-62</v>
      </c>
      <c r="AC11" s="131">
        <v>-74</v>
      </c>
      <c r="AD11" s="131">
        <v>-93</v>
      </c>
      <c r="AE11" s="131">
        <v>-103</v>
      </c>
      <c r="AF11" s="229">
        <v>-691</v>
      </c>
      <c r="AG11" s="577"/>
      <c r="AH11" s="467"/>
    </row>
    <row r="12" spans="2:34" s="1" customFormat="1" ht="11.25">
      <c r="B12" s="203" t="str">
        <f>names!A463</f>
        <v>Pozostałe przychody/koszty operacyjne netto</v>
      </c>
      <c r="C12" s="147">
        <f>C10+C11</f>
        <v>1</v>
      </c>
      <c r="D12" s="147">
        <f>D10+D11</f>
        <v>-11</v>
      </c>
      <c r="E12" s="147">
        <f>E10+E11</f>
        <v>-6</v>
      </c>
      <c r="F12" s="147">
        <f>F10+F11</f>
        <v>-44</v>
      </c>
      <c r="G12" s="236">
        <f>G10+G11</f>
        <v>-60</v>
      </c>
      <c r="H12" s="147">
        <v>0</v>
      </c>
      <c r="I12" s="147">
        <f>4104-20</f>
        <v>4084</v>
      </c>
      <c r="J12" s="147">
        <v>20</v>
      </c>
      <c r="K12" s="147">
        <v>328</v>
      </c>
      <c r="L12" s="236">
        <v>4432</v>
      </c>
      <c r="M12" s="147">
        <v>333</v>
      </c>
      <c r="N12" s="147">
        <v>234</v>
      </c>
      <c r="O12" s="147">
        <v>218</v>
      </c>
      <c r="P12" s="147">
        <v>439</v>
      </c>
      <c r="Q12" s="236">
        <v>1224</v>
      </c>
      <c r="R12" s="147">
        <v>-543</v>
      </c>
      <c r="S12" s="147">
        <v>15</v>
      </c>
      <c r="T12" s="147">
        <v>286</v>
      </c>
      <c r="U12" s="147">
        <v>230</v>
      </c>
      <c r="V12" s="236">
        <v>-12</v>
      </c>
      <c r="W12" s="147">
        <v>74</v>
      </c>
      <c r="X12" s="147">
        <v>77</v>
      </c>
      <c r="Y12" s="147">
        <v>167</v>
      </c>
      <c r="Z12" s="147">
        <v>63</v>
      </c>
      <c r="AA12" s="236">
        <v>479</v>
      </c>
      <c r="AB12" s="147">
        <v>-37</v>
      </c>
      <c r="AC12" s="147">
        <v>18</v>
      </c>
      <c r="AD12" s="147">
        <v>14</v>
      </c>
      <c r="AE12" s="147">
        <v>61</v>
      </c>
      <c r="AF12" s="236">
        <v>-341</v>
      </c>
      <c r="AG12" s="577"/>
      <c r="AH12" s="467"/>
    </row>
    <row r="13" spans="2:34" s="1" customFormat="1" ht="22.5">
      <c r="B13" s="94" t="str">
        <f>names!A464</f>
        <v>(Strata)/odwrócenie straty z tytułu utraty wartości należności handlowych (w tym odsetek od należności handlowych)</v>
      </c>
      <c r="C13" s="133">
        <v>1</v>
      </c>
      <c r="D13" s="133">
        <v>0</v>
      </c>
      <c r="E13" s="133">
        <v>-1</v>
      </c>
      <c r="F13" s="133">
        <v>0</v>
      </c>
      <c r="G13" s="230">
        <v>0</v>
      </c>
      <c r="H13" s="133">
        <v>1</v>
      </c>
      <c r="I13" s="133">
        <v>-11</v>
      </c>
      <c r="J13" s="133">
        <v>-8</v>
      </c>
      <c r="K13" s="133">
        <v>-9</v>
      </c>
      <c r="L13" s="230">
        <v>-27</v>
      </c>
      <c r="M13" s="133">
        <v>16</v>
      </c>
      <c r="N13" s="133">
        <v>-53</v>
      </c>
      <c r="O13" s="133">
        <v>-15</v>
      </c>
      <c r="P13" s="133">
        <v>-17</v>
      </c>
      <c r="Q13" s="230">
        <v>-69</v>
      </c>
      <c r="R13" s="133">
        <v>-20</v>
      </c>
      <c r="S13" s="133">
        <v>-12</v>
      </c>
      <c r="T13" s="133">
        <v>-10</v>
      </c>
      <c r="U13" s="133">
        <v>-98</v>
      </c>
      <c r="V13" s="230">
        <v>-140</v>
      </c>
      <c r="W13" s="133">
        <v>-37</v>
      </c>
      <c r="X13" s="133">
        <v>-20</v>
      </c>
      <c r="Y13" s="133">
        <v>-9</v>
      </c>
      <c r="Z13" s="133">
        <v>-74</v>
      </c>
      <c r="AA13" s="230">
        <v>-146</v>
      </c>
      <c r="AB13" s="133">
        <v>-16</v>
      </c>
      <c r="AC13" s="133">
        <v>21</v>
      </c>
      <c r="AD13" s="133">
        <v>-31</v>
      </c>
      <c r="AE13" s="133">
        <v>-94</v>
      </c>
      <c r="AF13" s="230">
        <v>-127</v>
      </c>
      <c r="AG13" s="577"/>
      <c r="AH13" s="467"/>
    </row>
    <row r="14" spans="2:34" s="1" customFormat="1" ht="12" thickBot="1">
      <c r="B14" s="394" t="str">
        <f>names!A465</f>
        <v>Udział w wyniku finansowym jednostek wycenianych metodą praw własności</v>
      </c>
      <c r="C14" s="150">
        <v>0</v>
      </c>
      <c r="D14" s="150">
        <v>0</v>
      </c>
      <c r="E14" s="150">
        <v>0</v>
      </c>
      <c r="F14" s="150">
        <v>0</v>
      </c>
      <c r="G14" s="238">
        <v>0</v>
      </c>
      <c r="H14" s="150">
        <v>0</v>
      </c>
      <c r="I14" s="150">
        <v>0</v>
      </c>
      <c r="J14" s="150">
        <v>1</v>
      </c>
      <c r="K14" s="150">
        <v>5</v>
      </c>
      <c r="L14" s="238">
        <v>6</v>
      </c>
      <c r="M14" s="150">
        <v>0</v>
      </c>
      <c r="N14" s="150">
        <v>112</v>
      </c>
      <c r="O14" s="150">
        <v>9</v>
      </c>
      <c r="P14" s="150">
        <v>102</v>
      </c>
      <c r="Q14" s="238">
        <v>223</v>
      </c>
      <c r="R14" s="150">
        <v>34</v>
      </c>
      <c r="S14" s="150">
        <v>14</v>
      </c>
      <c r="T14" s="150">
        <v>11</v>
      </c>
      <c r="U14" s="150">
        <v>5</v>
      </c>
      <c r="V14" s="238">
        <v>64</v>
      </c>
      <c r="W14" s="150">
        <v>-6</v>
      </c>
      <c r="X14" s="150">
        <v>-26</v>
      </c>
      <c r="Y14" s="150">
        <v>31</v>
      </c>
      <c r="Z14" s="150">
        <v>0</v>
      </c>
      <c r="AA14" s="238">
        <v>0</v>
      </c>
      <c r="AB14" s="150">
        <v>0</v>
      </c>
      <c r="AC14" s="150">
        <v>233</v>
      </c>
      <c r="AD14" s="150">
        <v>-281</v>
      </c>
      <c r="AE14" s="150">
        <v>0</v>
      </c>
      <c r="AF14" s="238">
        <v>0</v>
      </c>
      <c r="AG14" s="577"/>
      <c r="AH14" s="467"/>
    </row>
    <row r="15" spans="2:34" s="1" customFormat="1" ht="23.25" thickBot="1">
      <c r="B15" s="58" t="str">
        <f>names!$A483</f>
        <v>Zysk/(Strata) operacyjna powiększona o amortyzację (EBITDA) 
przed odpisami aktualizującymi**</v>
      </c>
      <c r="C15" s="148">
        <f>C16+4</f>
        <v>242</v>
      </c>
      <c r="D15" s="148">
        <f>D16</f>
        <v>432</v>
      </c>
      <c r="E15" s="148">
        <f>E16</f>
        <v>514</v>
      </c>
      <c r="F15" s="148">
        <f>F16+3</f>
        <v>382</v>
      </c>
      <c r="G15" s="202">
        <f>G16+7</f>
        <v>1570</v>
      </c>
      <c r="H15" s="148">
        <v>488</v>
      </c>
      <c r="I15" s="148">
        <v>4821</v>
      </c>
      <c r="J15" s="148">
        <v>1022</v>
      </c>
      <c r="K15" s="148">
        <v>1371</v>
      </c>
      <c r="L15" s="202">
        <v>7702</v>
      </c>
      <c r="M15" s="148">
        <v>1259</v>
      </c>
      <c r="N15" s="148">
        <v>1215</v>
      </c>
      <c r="O15" s="148">
        <v>1042</v>
      </c>
      <c r="P15" s="148">
        <v>164</v>
      </c>
      <c r="Q15" s="202">
        <v>3680</v>
      </c>
      <c r="R15" s="148">
        <v>1004</v>
      </c>
      <c r="S15" s="148">
        <v>1176</v>
      </c>
      <c r="T15" s="148">
        <v>1607</v>
      </c>
      <c r="U15" s="148">
        <v>-44</v>
      </c>
      <c r="V15" s="202">
        <v>3743</v>
      </c>
      <c r="W15" s="148">
        <v>2875</v>
      </c>
      <c r="X15" s="148">
        <v>555</v>
      </c>
      <c r="Y15" s="148">
        <v>1348</v>
      </c>
      <c r="Z15" s="148">
        <v>23</v>
      </c>
      <c r="AA15" s="202">
        <v>4894</v>
      </c>
      <c r="AB15" s="148">
        <v>2427</v>
      </c>
      <c r="AC15" s="148">
        <v>1967</v>
      </c>
      <c r="AD15" s="148">
        <v>949</v>
      </c>
      <c r="AE15" s="148">
        <v>2266</v>
      </c>
      <c r="AF15" s="202">
        <v>7855</v>
      </c>
      <c r="AG15" s="577"/>
      <c r="AH15" s="467"/>
    </row>
    <row r="16" spans="2:34" s="56" customFormat="1" ht="12" thickBot="1">
      <c r="B16" s="386" t="str">
        <f>names!$A484</f>
        <v>Zysk/(Strata) operacyjna powiększona o amortyzację (EBITDA)**</v>
      </c>
      <c r="C16" s="148">
        <v>238</v>
      </c>
      <c r="D16" s="148">
        <v>432</v>
      </c>
      <c r="E16" s="148">
        <v>514</v>
      </c>
      <c r="F16" s="148">
        <v>379</v>
      </c>
      <c r="G16" s="202">
        <v>1563</v>
      </c>
      <c r="H16" s="148">
        <v>488</v>
      </c>
      <c r="I16" s="148">
        <v>4819</v>
      </c>
      <c r="J16" s="148">
        <v>1021</v>
      </c>
      <c r="K16" s="148">
        <v>1369</v>
      </c>
      <c r="L16" s="202">
        <v>7697</v>
      </c>
      <c r="M16" s="148">
        <v>1259</v>
      </c>
      <c r="N16" s="148">
        <v>1153</v>
      </c>
      <c r="O16" s="148">
        <v>1044</v>
      </c>
      <c r="P16" s="148">
        <v>147</v>
      </c>
      <c r="Q16" s="202">
        <v>3603</v>
      </c>
      <c r="R16" s="148">
        <v>1004</v>
      </c>
      <c r="S16" s="148">
        <v>1161</v>
      </c>
      <c r="T16" s="148">
        <v>1600</v>
      </c>
      <c r="U16" s="148">
        <v>-70</v>
      </c>
      <c r="V16" s="202">
        <v>3695</v>
      </c>
      <c r="W16" s="148">
        <v>2874</v>
      </c>
      <c r="X16" s="148">
        <v>552</v>
      </c>
      <c r="Y16" s="148">
        <v>1344</v>
      </c>
      <c r="Z16" s="148">
        <v>9</v>
      </c>
      <c r="AA16" s="202">
        <v>4872</v>
      </c>
      <c r="AB16" s="148">
        <v>2422</v>
      </c>
      <c r="AC16" s="148">
        <v>1963</v>
      </c>
      <c r="AD16" s="148">
        <v>914</v>
      </c>
      <c r="AE16" s="148">
        <v>2231</v>
      </c>
      <c r="AF16" s="202">
        <v>7406</v>
      </c>
      <c r="AG16" s="577"/>
      <c r="AH16" s="467"/>
    </row>
    <row r="17" spans="2:34" s="1" customFormat="1" ht="12" thickBot="1">
      <c r="B17" s="58" t="str">
        <f>names!$A485</f>
        <v>Zysk/(Strata) operacyjna (EBIT) przed odpisami aktualizującymi**</v>
      </c>
      <c r="C17" s="148">
        <f>C18+4</f>
        <v>137</v>
      </c>
      <c r="D17" s="148">
        <f>D18</f>
        <v>326</v>
      </c>
      <c r="E17" s="148">
        <f>E18</f>
        <v>406</v>
      </c>
      <c r="F17" s="148">
        <f>F18+2</f>
        <v>264</v>
      </c>
      <c r="G17" s="202">
        <f>G18+6</f>
        <v>1133</v>
      </c>
      <c r="H17" s="148">
        <v>371</v>
      </c>
      <c r="I17" s="148">
        <v>4524</v>
      </c>
      <c r="J17" s="148">
        <v>645</v>
      </c>
      <c r="K17" s="148">
        <v>982</v>
      </c>
      <c r="L17" s="202">
        <v>6522</v>
      </c>
      <c r="M17" s="148">
        <v>864</v>
      </c>
      <c r="N17" s="148">
        <v>835</v>
      </c>
      <c r="O17" s="148">
        <v>644</v>
      </c>
      <c r="P17" s="148">
        <v>-251</v>
      </c>
      <c r="Q17" s="202">
        <v>2092</v>
      </c>
      <c r="R17" s="148">
        <v>594</v>
      </c>
      <c r="S17" s="148">
        <v>758</v>
      </c>
      <c r="T17" s="148">
        <v>1195</v>
      </c>
      <c r="U17" s="148">
        <v>-611</v>
      </c>
      <c r="V17" s="202">
        <v>1936</v>
      </c>
      <c r="W17" s="148">
        <v>2285</v>
      </c>
      <c r="X17" s="148">
        <v>-22</v>
      </c>
      <c r="Y17" s="148">
        <v>774</v>
      </c>
      <c r="Z17" s="148">
        <v>-582</v>
      </c>
      <c r="AA17" s="202">
        <v>2548</v>
      </c>
      <c r="AB17" s="148">
        <v>1835</v>
      </c>
      <c r="AC17" s="148">
        <v>1348</v>
      </c>
      <c r="AD17" s="148">
        <v>330</v>
      </c>
      <c r="AE17" s="148">
        <v>1584</v>
      </c>
      <c r="AF17" s="202">
        <v>5348</v>
      </c>
      <c r="AG17" s="577"/>
      <c r="AH17" s="467"/>
    </row>
    <row r="18" spans="2:34" s="56" customFormat="1" ht="12" thickBot="1">
      <c r="B18" s="58" t="str">
        <f>names!$A486</f>
        <v>Zysk/(Strata) operacyjna (EBIT)**</v>
      </c>
      <c r="C18" s="148">
        <f>C6+C9+C12+C13+C14</f>
        <v>133</v>
      </c>
      <c r="D18" s="148">
        <f>D6+D9+D12+D13+D14</f>
        <v>326</v>
      </c>
      <c r="E18" s="148">
        <f>E6+E9+E12+E13+E14</f>
        <v>406</v>
      </c>
      <c r="F18" s="148">
        <f>F6+F9+F12+F13+F14</f>
        <v>262</v>
      </c>
      <c r="G18" s="202">
        <f>G6+G9+G12+G13+G14</f>
        <v>1127</v>
      </c>
      <c r="H18" s="148">
        <v>371</v>
      </c>
      <c r="I18" s="148">
        <v>4522</v>
      </c>
      <c r="J18" s="148">
        <v>644</v>
      </c>
      <c r="K18" s="148">
        <v>980</v>
      </c>
      <c r="L18" s="202">
        <v>6517</v>
      </c>
      <c r="M18" s="148">
        <v>864</v>
      </c>
      <c r="N18" s="148">
        <v>773</v>
      </c>
      <c r="O18" s="148">
        <v>646</v>
      </c>
      <c r="P18" s="148">
        <v>-268</v>
      </c>
      <c r="Q18" s="202">
        <v>2015</v>
      </c>
      <c r="R18" s="148">
        <v>594</v>
      </c>
      <c r="S18" s="148">
        <v>743</v>
      </c>
      <c r="T18" s="148">
        <v>1188</v>
      </c>
      <c r="U18" s="148">
        <v>-637</v>
      </c>
      <c r="V18" s="202">
        <v>1888</v>
      </c>
      <c r="W18" s="148">
        <v>2284</v>
      </c>
      <c r="X18" s="148">
        <v>-25</v>
      </c>
      <c r="Y18" s="148">
        <v>770</v>
      </c>
      <c r="Z18" s="148">
        <v>-596</v>
      </c>
      <c r="AA18" s="202">
        <v>2526</v>
      </c>
      <c r="AB18" s="148">
        <v>1830</v>
      </c>
      <c r="AC18" s="148">
        <v>1344</v>
      </c>
      <c r="AD18" s="148">
        <v>295</v>
      </c>
      <c r="AE18" s="148">
        <v>1549</v>
      </c>
      <c r="AF18" s="202">
        <v>4899</v>
      </c>
      <c r="AG18" s="577"/>
      <c r="AH18" s="467"/>
    </row>
    <row r="19" spans="2:34" s="1" customFormat="1" ht="11.25">
      <c r="B19" s="51" t="str">
        <f>names!$A487</f>
        <v>Zwiększenie aktywów trwałych</v>
      </c>
      <c r="C19" s="151">
        <v>30</v>
      </c>
      <c r="D19" s="151">
        <v>69</v>
      </c>
      <c r="E19" s="151">
        <v>89</v>
      </c>
      <c r="F19" s="151">
        <v>130</v>
      </c>
      <c r="G19" s="239">
        <v>318</v>
      </c>
      <c r="H19" s="151">
        <v>46</v>
      </c>
      <c r="I19" s="151">
        <v>421</v>
      </c>
      <c r="J19" s="151">
        <v>506</v>
      </c>
      <c r="K19" s="151">
        <v>749</v>
      </c>
      <c r="L19" s="239">
        <v>1722</v>
      </c>
      <c r="M19" s="151">
        <v>485</v>
      </c>
      <c r="N19" s="151">
        <v>690</v>
      </c>
      <c r="O19" s="151">
        <v>572</v>
      </c>
      <c r="P19" s="151">
        <v>869</v>
      </c>
      <c r="Q19" s="239">
        <v>2616</v>
      </c>
      <c r="R19" s="151">
        <v>435</v>
      </c>
      <c r="S19" s="151">
        <v>736</v>
      </c>
      <c r="T19" s="151">
        <v>1468</v>
      </c>
      <c r="U19" s="151">
        <v>1729</v>
      </c>
      <c r="V19" s="239">
        <v>4368</v>
      </c>
      <c r="W19" s="151">
        <v>876</v>
      </c>
      <c r="X19" s="151">
        <v>1385</v>
      </c>
      <c r="Y19" s="151">
        <v>1589</v>
      </c>
      <c r="Z19" s="151">
        <v>2249</v>
      </c>
      <c r="AA19" s="239">
        <v>6099</v>
      </c>
      <c r="AB19" s="151">
        <v>963</v>
      </c>
      <c r="AC19" s="151">
        <v>1470</v>
      </c>
      <c r="AD19" s="151">
        <v>1530</v>
      </c>
      <c r="AE19" s="151">
        <v>2915</v>
      </c>
      <c r="AF19" s="239">
        <v>6878</v>
      </c>
      <c r="AG19" s="577"/>
      <c r="AH19" s="467"/>
    </row>
    <row r="20" spans="2:34" s="1" customFormat="1" ht="8.25" customHeight="1">
      <c r="B20" s="20"/>
      <c r="C20" s="131"/>
      <c r="D20" s="131"/>
      <c r="E20" s="131"/>
      <c r="F20" s="131"/>
      <c r="G20" s="131"/>
      <c r="H20" s="131"/>
      <c r="I20" s="131"/>
      <c r="J20" s="131"/>
      <c r="K20" s="131"/>
      <c r="L20" s="131"/>
      <c r="M20" s="131"/>
      <c r="N20" s="131"/>
      <c r="O20" s="131"/>
      <c r="P20" s="131"/>
      <c r="Q20" s="496"/>
      <c r="R20" s="131"/>
      <c r="S20" s="131"/>
      <c r="T20" s="131"/>
      <c r="U20" s="131"/>
      <c r="V20" s="496"/>
      <c r="W20" s="131"/>
      <c r="X20" s="131"/>
      <c r="Y20" s="131"/>
      <c r="Z20" s="131"/>
      <c r="AA20" s="496"/>
      <c r="AB20" s="131"/>
      <c r="AC20" s="131"/>
      <c r="AD20" s="131"/>
      <c r="AE20" s="131"/>
      <c r="AF20" s="496"/>
      <c r="AG20" s="577"/>
    </row>
    <row r="21" spans="2:34">
      <c r="B21" s="1004" t="str">
        <f>names!A475</f>
        <v>*) Dane przekształcone.</v>
      </c>
      <c r="C21" s="1004"/>
      <c r="D21" s="1004"/>
      <c r="E21" s="1004"/>
      <c r="F21" s="1004"/>
      <c r="G21" s="1004"/>
      <c r="H21" s="1004"/>
      <c r="AG21" s="577"/>
    </row>
    <row r="22" spans="2:34" ht="13.5" customHeight="1">
      <c r="B22" s="1004" t="str">
        <f>names!$A488</f>
        <v>**) W okresie 3 miesięcy zakończonym 30 czerwca 2020 roku oraz w okresie 12 miesięcy zakończonym 31 grudnia 2020 roku z uwzględnieniem rozpoznania zysku z tytułu okazyjnego nabycia 80% akcji Grupy ENERGA w wysokości 4 062 mln PLN.</v>
      </c>
      <c r="C22" s="1001" t="str">
        <f>names!$A490</f>
        <v>Segment Detal</v>
      </c>
      <c r="D22" s="1001" t="str">
        <f>names!$A490</f>
        <v>Segment Detal</v>
      </c>
      <c r="E22" s="1001" t="str">
        <f>names!$A490</f>
        <v>Segment Detal</v>
      </c>
      <c r="F22" s="1001" t="str">
        <f>names!$A490</f>
        <v>Segment Detal</v>
      </c>
      <c r="G22" s="1001" t="str">
        <f>names!$A490</f>
        <v>Segment Detal</v>
      </c>
      <c r="H22" s="1001" t="str">
        <f>names!$A490</f>
        <v>Segment Detal</v>
      </c>
      <c r="I22" s="1001" t="str">
        <f>names!$A490</f>
        <v>Segment Detal</v>
      </c>
      <c r="J22" s="1001" t="str">
        <f>names!$A490</f>
        <v>Segment Detal</v>
      </c>
      <c r="K22" s="1001" t="str">
        <f>names!$A490</f>
        <v>Segment Detal</v>
      </c>
      <c r="L22" s="1001" t="str">
        <f>names!$A490</f>
        <v>Segment Detal</v>
      </c>
      <c r="M22" s="1001" t="str">
        <f>names!$A490</f>
        <v>Segment Detal</v>
      </c>
      <c r="N22" s="1001" t="str">
        <f>names!$A490</f>
        <v>Segment Detal</v>
      </c>
      <c r="O22" s="1001" t="str">
        <f>names!$A490</f>
        <v>Segment Detal</v>
      </c>
      <c r="P22" s="1001" t="str">
        <f>names!$A490</f>
        <v>Segment Detal</v>
      </c>
      <c r="Q22" s="1001" t="str">
        <f>names!$A490</f>
        <v>Segment Detal</v>
      </c>
      <c r="R22" s="1001" t="str">
        <f>names!$A490</f>
        <v>Segment Detal</v>
      </c>
      <c r="S22" s="1001" t="str">
        <f>names!$A490</f>
        <v>Segment Detal</v>
      </c>
      <c r="T22" s="1001" t="str">
        <f>names!$A490</f>
        <v>Segment Detal</v>
      </c>
      <c r="U22" s="1001" t="str">
        <f>names!$A490</f>
        <v>Segment Detal</v>
      </c>
      <c r="V22" s="1001" t="str">
        <f>names!$A490</f>
        <v>Segment Detal</v>
      </c>
      <c r="W22" s="1001" t="str">
        <f>names!$A490</f>
        <v>Segment Detal</v>
      </c>
      <c r="X22" s="1001" t="str">
        <f>names!$A490</f>
        <v>Segment Detal</v>
      </c>
      <c r="Y22" s="1001" t="str">
        <f>names!$A490</f>
        <v>Segment Detal</v>
      </c>
      <c r="Z22" s="1001" t="str">
        <f>names!$A490</f>
        <v>Segment Detal</v>
      </c>
      <c r="AA22" s="1001" t="str">
        <f>names!$A490</f>
        <v>Segment Detal</v>
      </c>
      <c r="AB22" s="1001" t="str">
        <f>names!$A490</f>
        <v>Segment Detal</v>
      </c>
      <c r="AC22" s="1001" t="str">
        <f>names!$A490</f>
        <v>Segment Detal</v>
      </c>
      <c r="AD22" s="1001" t="str">
        <f>names!$A490</f>
        <v>Segment Detal</v>
      </c>
      <c r="AE22" s="1001" t="str">
        <f>names!$A490</f>
        <v>Segment Detal</v>
      </c>
      <c r="AF22" s="1001" t="str">
        <f>names!$A490</f>
        <v>Segment Detal</v>
      </c>
      <c r="AG22" s="577"/>
    </row>
    <row r="24" spans="2:34">
      <c r="B24" s="577"/>
      <c r="C24" s="577"/>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77"/>
    </row>
    <row r="25" spans="2:34">
      <c r="B25" s="768"/>
    </row>
    <row r="26" spans="2:34">
      <c r="C26" s="370"/>
      <c r="D26" s="370"/>
      <c r="E26" s="370"/>
      <c r="F26" s="370"/>
      <c r="G26" s="370"/>
    </row>
    <row r="27" spans="2:34">
      <c r="C27" s="704"/>
      <c r="D27" s="704"/>
      <c r="E27" s="704"/>
      <c r="F27" s="704"/>
      <c r="G27" s="704"/>
      <c r="H27" s="704"/>
      <c r="I27" s="704"/>
      <c r="J27" s="704"/>
      <c r="K27" s="704"/>
      <c r="L27" s="704"/>
      <c r="M27" s="704"/>
      <c r="N27" s="704"/>
      <c r="O27" s="704"/>
      <c r="P27" s="704"/>
      <c r="Q27" s="704"/>
      <c r="R27" s="704"/>
      <c r="S27" s="704"/>
      <c r="T27" s="704"/>
      <c r="U27" s="704"/>
      <c r="V27" s="704"/>
    </row>
  </sheetData>
  <mergeCells count="2">
    <mergeCell ref="B21:H21"/>
    <mergeCell ref="B22:AF22"/>
  </mergeCells>
  <conditionalFormatting sqref="B24:AF24">
    <cfRule type="cellIs" dxfId="51" priority="2" operator="equal">
      <formula>FALSE</formula>
    </cfRule>
  </conditionalFormatting>
  <conditionalFormatting sqref="AG2:AG22">
    <cfRule type="cellIs" dxfId="50"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34998626667073579"/>
    <pageSetUpPr fitToPage="1"/>
  </sheetPr>
  <dimension ref="B2:BL25"/>
  <sheetViews>
    <sheetView showGridLines="0" view="pageBreakPreview" zoomScaleNormal="100" zoomScaleSheetLayoutView="100" workbookViewId="0">
      <pane xSplit="2" ySplit="4" topLeftCell="AA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59.42578125" style="16" customWidth="1"/>
    <col min="3" max="6" width="7.5703125" hidden="1" customWidth="1" outlineLevel="1"/>
    <col min="7" max="7" width="7.5703125" customWidth="1" collapsed="1"/>
    <col min="8" max="11" width="7.5703125" hidden="1" customWidth="1" outlineLevel="1"/>
    <col min="12" max="12" width="7.5703125" customWidth="1" collapsed="1"/>
    <col min="13" max="16" width="7.5703125" hidden="1" customWidth="1" outlineLevel="1"/>
    <col min="17" max="17" width="7.5703125" customWidth="1" collapsed="1"/>
    <col min="18" max="21" width="7.5703125" hidden="1" customWidth="1" outlineLevel="1"/>
    <col min="22" max="22" width="7.5703125" customWidth="1" collapsed="1"/>
    <col min="23" max="26" width="7.5703125" hidden="1" customWidth="1" outlineLevel="1"/>
    <col min="27" max="27" width="7.5703125" customWidth="1" collapsed="1"/>
    <col min="28" max="28" width="7.5703125" hidden="1" customWidth="1" outlineLevel="1" collapsed="1"/>
    <col min="29" max="31" width="7.5703125" hidden="1" customWidth="1" outlineLevel="1"/>
    <col min="32" max="32" width="7.5703125" customWidth="1" collapsed="1"/>
    <col min="33" max="36" width="7.5703125" hidden="1" customWidth="1" outlineLevel="1"/>
    <col min="37" max="37" width="7.5703125" customWidth="1" collapsed="1"/>
    <col min="38" max="41" width="7.5703125" hidden="1" customWidth="1" outlineLevel="1"/>
    <col min="42" max="42" width="7.5703125" customWidth="1" collapsed="1"/>
    <col min="43" max="46" width="7.5703125" hidden="1" customWidth="1" outlineLevel="1"/>
    <col min="47" max="47" width="7.5703125" customWidth="1" collapsed="1"/>
    <col min="48" max="51" width="7.5703125" hidden="1" customWidth="1" outlineLevel="1"/>
    <col min="52" max="52" width="7.5703125" customWidth="1" collapsed="1"/>
    <col min="53" max="56" width="7.5703125" hidden="1" customWidth="1" outlineLevel="1"/>
    <col min="57" max="57" width="7.5703125" customWidth="1" collapsed="1"/>
    <col min="58" max="61" width="7.5703125" hidden="1" customWidth="1" outlineLevel="1"/>
    <col min="62" max="62" width="7.5703125" customWidth="1" collapsed="1"/>
  </cols>
  <sheetData>
    <row r="2" spans="2:64" ht="15.75">
      <c r="B2" s="397" t="str">
        <f>names!A490</f>
        <v>Segment Detal</v>
      </c>
      <c r="BK2" s="577"/>
    </row>
    <row r="3" spans="2:64" ht="10.15" customHeight="1">
      <c r="BK3" s="577"/>
    </row>
    <row r="4" spans="2:64" s="24" customFormat="1" ht="32.25" customHeight="1">
      <c r="B4" s="15" t="str">
        <f>names!A455</f>
        <v>Wyszczególnienie, 
mln PLN</v>
      </c>
      <c r="C4" s="15" t="str">
        <f>names!$A499</f>
        <v>I kw.
2013 *</v>
      </c>
      <c r="D4" s="15" t="str">
        <f>names!$A500</f>
        <v>II kw.
2013 *</v>
      </c>
      <c r="E4" s="15" t="str">
        <f>names!$A501</f>
        <v>III kw.
2013 *</v>
      </c>
      <c r="F4" s="15" t="str">
        <f>names!$A502</f>
        <v>IV kw.
2013 *</v>
      </c>
      <c r="G4" s="15" t="str">
        <f>names!$A503</f>
        <v>12 m-cy
2013 *</v>
      </c>
      <c r="H4" s="15" t="str">
        <f>names!$A504</f>
        <v>I kw.
2014</v>
      </c>
      <c r="I4" s="15" t="str">
        <f>names!$A505</f>
        <v>II kw.
2014</v>
      </c>
      <c r="J4" s="15" t="str">
        <f>names!$A506</f>
        <v>III kw.
2014</v>
      </c>
      <c r="K4" s="15" t="str">
        <f>names!$A507</f>
        <v>IV kw.
2014</v>
      </c>
      <c r="L4" s="15" t="str">
        <f>names!$A508</f>
        <v>12 m-cy
2014</v>
      </c>
      <c r="M4" s="15" t="str">
        <f>names!$A509</f>
        <v>I kw.
2015</v>
      </c>
      <c r="N4" s="15" t="str">
        <f>names!$A510</f>
        <v>II kw.
2015</v>
      </c>
      <c r="O4" s="15" t="str">
        <f>names!$A511</f>
        <v>III kw.
2015</v>
      </c>
      <c r="P4" s="15" t="str">
        <f>names!$A512</f>
        <v>IV kw.
2015</v>
      </c>
      <c r="Q4" s="15" t="str">
        <f>names!$A513</f>
        <v>12 m-cy
2015</v>
      </c>
      <c r="R4" s="15" t="str">
        <f>names!$A514</f>
        <v>I kw.
2016</v>
      </c>
      <c r="S4" s="15" t="str">
        <f>names!$A515</f>
        <v>II kw.
2016</v>
      </c>
      <c r="T4" s="15" t="str">
        <f>names!$A516</f>
        <v>III kw.
2016</v>
      </c>
      <c r="U4" s="15" t="str">
        <f>names!$A517</f>
        <v>IV kw.
2016</v>
      </c>
      <c r="V4" s="15" t="str">
        <f>names!$A518</f>
        <v>12 m-cy
2016</v>
      </c>
      <c r="W4" s="15" t="str">
        <f>names!$A519</f>
        <v>I kw.
2017</v>
      </c>
      <c r="X4" s="15" t="str">
        <f>names!$A520</f>
        <v>II kw.
2017</v>
      </c>
      <c r="Y4" s="15" t="str">
        <f>names!$A521</f>
        <v>III kw.
2017</v>
      </c>
      <c r="Z4" s="15" t="str">
        <f>names!$A522</f>
        <v>IV kw.
2017</v>
      </c>
      <c r="AA4" s="15" t="str">
        <f>names!$A523</f>
        <v>12 m-cy
2017</v>
      </c>
      <c r="AB4" s="15" t="str">
        <f>names!$A524</f>
        <v>I kw.
2018</v>
      </c>
      <c r="AC4" s="15" t="str">
        <f>names!$A525</f>
        <v>II kw.
2018</v>
      </c>
      <c r="AD4" s="15" t="str">
        <f>names!$A526</f>
        <v>III kw.
2018</v>
      </c>
      <c r="AE4" s="15" t="str">
        <f>names!$A527</f>
        <v>IV kw.
2018 ***</v>
      </c>
      <c r="AF4" s="15" t="str">
        <f>names!$A553</f>
        <v>12 m-cy
2018</v>
      </c>
      <c r="AG4" s="15" t="str">
        <f>names!$A531</f>
        <v>I kw.
2019</v>
      </c>
      <c r="AH4" s="15" t="str">
        <f>names!$A532</f>
        <v>II kw.
2019</v>
      </c>
      <c r="AI4" s="15" t="str">
        <f>names!$A533</f>
        <v>III kw.
2019</v>
      </c>
      <c r="AJ4" s="15" t="str">
        <f>names!$A534</f>
        <v>IV kw.
2019</v>
      </c>
      <c r="AK4" s="15" t="str">
        <f>names!$A535</f>
        <v>12 m-cy
2019</v>
      </c>
      <c r="AL4" s="15" t="str">
        <f>names!A149</f>
        <v>I kw. 
2020</v>
      </c>
      <c r="AM4" s="15" t="str">
        <f>names!$A404</f>
        <v>II kw.
2020</v>
      </c>
      <c r="AN4" s="15" t="str">
        <f>names!$A406</f>
        <v>III kw.
2020</v>
      </c>
      <c r="AO4" s="15" t="str">
        <f>names!$A408</f>
        <v>IV kw.
2020</v>
      </c>
      <c r="AP4" s="15" t="str">
        <f>names!$A153</f>
        <v>12 m-cy 2020</v>
      </c>
      <c r="AQ4" s="15" t="str">
        <f>names!$A154</f>
        <v>I kw. 
2021</v>
      </c>
      <c r="AR4" s="15" t="str">
        <f>names!$A155</f>
        <v>II kw. 
2021</v>
      </c>
      <c r="AS4" s="15" t="str">
        <f>names!$A156</f>
        <v>III kw. 
2021</v>
      </c>
      <c r="AT4" s="15" t="str">
        <f>names!$A157</f>
        <v>IV kw. 
2021</v>
      </c>
      <c r="AU4" s="15" t="str">
        <f>names!A158</f>
        <v>12 m-cy 2021</v>
      </c>
      <c r="AV4" s="15" t="str">
        <f>names!$A159</f>
        <v>I kw. 
2022</v>
      </c>
      <c r="AW4" s="15" t="str">
        <f>names!$A160</f>
        <v>II kw. 
2022</v>
      </c>
      <c r="AX4" s="15" t="str">
        <f>names!$A161</f>
        <v>III kw. 
2022</v>
      </c>
      <c r="AY4" s="15" t="str">
        <f>names!$A162</f>
        <v>IV kw. 
2022</v>
      </c>
      <c r="AZ4" s="15" t="str">
        <f>names!$A163</f>
        <v>12 m-cy 2022</v>
      </c>
      <c r="BA4" s="15" t="str">
        <f>names!$A164</f>
        <v>I kw. 
2023</v>
      </c>
      <c r="BB4" s="15" t="str">
        <f>names!$A165</f>
        <v>II kw. 
2023</v>
      </c>
      <c r="BC4" s="15" t="str">
        <f>names!$A166</f>
        <v>III kw. 
2023</v>
      </c>
      <c r="BD4" s="15" t="str">
        <f>names!$A167</f>
        <v>IV kw. 
2023</v>
      </c>
      <c r="BE4" s="15" t="str">
        <f>names!$A168</f>
        <v>12 m-cy 2023</v>
      </c>
      <c r="BF4" s="15" t="str">
        <f>names!$A169</f>
        <v>I kw. 
2024</v>
      </c>
      <c r="BG4" s="15" t="str">
        <f>names!$A170</f>
        <v>II kw. 
2024</v>
      </c>
      <c r="BH4" s="15" t="str">
        <f>names!$A171</f>
        <v>III kw. 
2024</v>
      </c>
      <c r="BI4" s="15" t="str">
        <f>names!$A172</f>
        <v>IV kw. 
2024</v>
      </c>
      <c r="BJ4" s="15" t="str">
        <f>names!$A173</f>
        <v>12 m-cy 2024</v>
      </c>
      <c r="BK4" s="577"/>
    </row>
    <row r="5" spans="2:64"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577"/>
    </row>
    <row r="6" spans="2:64" s="1" customFormat="1" ht="11.25">
      <c r="B6" s="59" t="str">
        <f>names!A457</f>
        <v>Przychody ze sprzedaży</v>
      </c>
      <c r="C6" s="146">
        <v>8202</v>
      </c>
      <c r="D6" s="146">
        <v>9314</v>
      </c>
      <c r="E6" s="146">
        <v>10147</v>
      </c>
      <c r="F6" s="146">
        <v>8961</v>
      </c>
      <c r="G6" s="235">
        <v>36624</v>
      </c>
      <c r="H6" s="146">
        <v>8362</v>
      </c>
      <c r="I6" s="146">
        <v>9320</v>
      </c>
      <c r="J6" s="146">
        <v>9832</v>
      </c>
      <c r="K6" s="146">
        <v>8590</v>
      </c>
      <c r="L6" s="235">
        <v>36104</v>
      </c>
      <c r="M6" s="146">
        <v>7065</v>
      </c>
      <c r="N6" s="146">
        <v>8151</v>
      </c>
      <c r="O6" s="146">
        <v>8351</v>
      </c>
      <c r="P6" s="146">
        <v>7555</v>
      </c>
      <c r="Q6" s="235">
        <v>31122</v>
      </c>
      <c r="R6" s="146">
        <v>6307</v>
      </c>
      <c r="S6" s="146">
        <v>7696</v>
      </c>
      <c r="T6" s="146">
        <v>8111</v>
      </c>
      <c r="U6" s="146">
        <v>8007</v>
      </c>
      <c r="V6" s="235">
        <v>30121</v>
      </c>
      <c r="W6" s="146">
        <v>7903</v>
      </c>
      <c r="X6" s="146">
        <v>8588</v>
      </c>
      <c r="Y6" s="146">
        <v>8918</v>
      </c>
      <c r="Z6" s="146">
        <v>8221</v>
      </c>
      <c r="AA6" s="235">
        <v>33630</v>
      </c>
      <c r="AB6" s="146">
        <v>7928</v>
      </c>
      <c r="AC6" s="146">
        <v>9299</v>
      </c>
      <c r="AD6" s="146">
        <v>10285</v>
      </c>
      <c r="AE6" s="146">
        <v>9962</v>
      </c>
      <c r="AF6" s="235">
        <v>37474</v>
      </c>
      <c r="AG6" s="146">
        <v>8606</v>
      </c>
      <c r="AH6" s="146">
        <v>10290</v>
      </c>
      <c r="AI6" s="146">
        <v>10391</v>
      </c>
      <c r="AJ6" s="146">
        <v>9802</v>
      </c>
      <c r="AK6" s="235">
        <v>39089</v>
      </c>
      <c r="AL6" s="146">
        <v>8633</v>
      </c>
      <c r="AM6" s="146">
        <v>6346</v>
      </c>
      <c r="AN6" s="146">
        <v>8565</v>
      </c>
      <c r="AO6" s="146">
        <v>7367</v>
      </c>
      <c r="AP6" s="235">
        <v>30911</v>
      </c>
      <c r="AQ6" s="146">
        <v>7813</v>
      </c>
      <c r="AR6" s="146">
        <v>9809</v>
      </c>
      <c r="AS6" s="146">
        <v>11727</v>
      </c>
      <c r="AT6" s="146">
        <v>11818</v>
      </c>
      <c r="AU6" s="235">
        <v>41167</v>
      </c>
      <c r="AV6" s="146">
        <v>13085</v>
      </c>
      <c r="AW6" s="146">
        <v>17303</v>
      </c>
      <c r="AX6" s="146">
        <v>18429</v>
      </c>
      <c r="AY6" s="146">
        <v>16687</v>
      </c>
      <c r="AZ6" s="235">
        <v>65504</v>
      </c>
      <c r="BA6" s="146">
        <v>13154</v>
      </c>
      <c r="BB6" s="146">
        <v>13572</v>
      </c>
      <c r="BC6" s="146">
        <v>15331</v>
      </c>
      <c r="BD6" s="146">
        <v>15100</v>
      </c>
      <c r="BE6" s="235">
        <v>57157</v>
      </c>
      <c r="BF6" s="146">
        <v>14681</v>
      </c>
      <c r="BG6" s="146">
        <v>16395</v>
      </c>
      <c r="BH6" s="146">
        <v>16213</v>
      </c>
      <c r="BI6" s="146">
        <v>14516</v>
      </c>
      <c r="BJ6" s="235">
        <v>61805</v>
      </c>
      <c r="BK6" s="577"/>
      <c r="BL6" s="467"/>
    </row>
    <row r="7" spans="2:64" s="1" customFormat="1" ht="11.25">
      <c r="B7" s="95" t="str">
        <f>names!A458</f>
        <v>Sprzedaż zewnętrzna</v>
      </c>
      <c r="C7" s="147">
        <v>8167</v>
      </c>
      <c r="D7" s="147">
        <v>9273</v>
      </c>
      <c r="E7" s="147">
        <v>10102</v>
      </c>
      <c r="F7" s="147">
        <v>8920</v>
      </c>
      <c r="G7" s="236">
        <v>36462</v>
      </c>
      <c r="H7" s="147">
        <v>8320</v>
      </c>
      <c r="I7" s="147">
        <v>9272</v>
      </c>
      <c r="J7" s="147">
        <v>9778</v>
      </c>
      <c r="K7" s="147">
        <v>8543</v>
      </c>
      <c r="L7" s="236">
        <v>35913</v>
      </c>
      <c r="M7" s="147">
        <v>7050</v>
      </c>
      <c r="N7" s="147">
        <v>8132</v>
      </c>
      <c r="O7" s="147">
        <v>8333</v>
      </c>
      <c r="P7" s="147">
        <v>7537</v>
      </c>
      <c r="Q7" s="236">
        <v>31052</v>
      </c>
      <c r="R7" s="147">
        <v>6264</v>
      </c>
      <c r="S7" s="147">
        <v>7588</v>
      </c>
      <c r="T7" s="147">
        <v>7992</v>
      </c>
      <c r="U7" s="147">
        <v>7997</v>
      </c>
      <c r="V7" s="236">
        <v>29841</v>
      </c>
      <c r="W7" s="147">
        <v>7892</v>
      </c>
      <c r="X7" s="147">
        <v>8550</v>
      </c>
      <c r="Y7" s="147">
        <v>8814</v>
      </c>
      <c r="Z7" s="147">
        <v>8094</v>
      </c>
      <c r="AA7" s="236">
        <v>33350</v>
      </c>
      <c r="AB7" s="147">
        <v>7919</v>
      </c>
      <c r="AC7" s="147">
        <v>9191</v>
      </c>
      <c r="AD7" s="147">
        <v>10276</v>
      </c>
      <c r="AE7" s="147">
        <v>9953</v>
      </c>
      <c r="AF7" s="236">
        <v>37339</v>
      </c>
      <c r="AG7" s="147">
        <v>8544</v>
      </c>
      <c r="AH7" s="147">
        <v>10189</v>
      </c>
      <c r="AI7" s="147">
        <v>10382</v>
      </c>
      <c r="AJ7" s="147">
        <v>9795</v>
      </c>
      <c r="AK7" s="236">
        <v>38910</v>
      </c>
      <c r="AL7" s="147">
        <v>8609</v>
      </c>
      <c r="AM7" s="147">
        <v>6308</v>
      </c>
      <c r="AN7" s="147">
        <v>8552</v>
      </c>
      <c r="AO7" s="147">
        <v>7368</v>
      </c>
      <c r="AP7" s="236">
        <v>30837</v>
      </c>
      <c r="AQ7" s="147">
        <v>7799</v>
      </c>
      <c r="AR7" s="147">
        <v>9785</v>
      </c>
      <c r="AS7" s="147">
        <v>11696</v>
      </c>
      <c r="AT7" s="147">
        <v>11802</v>
      </c>
      <c r="AU7" s="236">
        <v>41082</v>
      </c>
      <c r="AV7" s="147">
        <v>13052</v>
      </c>
      <c r="AW7" s="147">
        <v>17261</v>
      </c>
      <c r="AX7" s="147">
        <v>18386</v>
      </c>
      <c r="AY7" s="147">
        <v>16630</v>
      </c>
      <c r="AZ7" s="236">
        <v>65329</v>
      </c>
      <c r="BA7" s="147">
        <v>13106</v>
      </c>
      <c r="BB7" s="147">
        <v>13528</v>
      </c>
      <c r="BC7" s="147">
        <v>15284</v>
      </c>
      <c r="BD7" s="147">
        <v>15051</v>
      </c>
      <c r="BE7" s="236">
        <v>56969</v>
      </c>
      <c r="BF7" s="147">
        <v>14637</v>
      </c>
      <c r="BG7" s="147">
        <v>16349</v>
      </c>
      <c r="BH7" s="147">
        <v>16165</v>
      </c>
      <c r="BI7" s="147">
        <v>14468</v>
      </c>
      <c r="BJ7" s="236">
        <v>61619</v>
      </c>
      <c r="BK7" s="577"/>
      <c r="BL7" s="467"/>
    </row>
    <row r="8" spans="2:64" s="1" customFormat="1" ht="11.25">
      <c r="B8" s="44" t="str">
        <f>names!A459</f>
        <v>Sprzedaż między segmentami</v>
      </c>
      <c r="C8" s="151">
        <v>35</v>
      </c>
      <c r="D8" s="151">
        <v>41</v>
      </c>
      <c r="E8" s="151">
        <v>45</v>
      </c>
      <c r="F8" s="151">
        <v>41</v>
      </c>
      <c r="G8" s="239">
        <v>162</v>
      </c>
      <c r="H8" s="151">
        <v>42</v>
      </c>
      <c r="I8" s="151">
        <v>48</v>
      </c>
      <c r="J8" s="151">
        <v>54</v>
      </c>
      <c r="K8" s="151">
        <v>47</v>
      </c>
      <c r="L8" s="239">
        <v>191</v>
      </c>
      <c r="M8" s="151">
        <v>15</v>
      </c>
      <c r="N8" s="151">
        <v>19</v>
      </c>
      <c r="O8" s="151">
        <v>18</v>
      </c>
      <c r="P8" s="151">
        <v>18</v>
      </c>
      <c r="Q8" s="239">
        <v>70</v>
      </c>
      <c r="R8" s="151">
        <v>43</v>
      </c>
      <c r="S8" s="151">
        <v>108</v>
      </c>
      <c r="T8" s="151">
        <v>119</v>
      </c>
      <c r="U8" s="151">
        <v>10</v>
      </c>
      <c r="V8" s="239">
        <v>280</v>
      </c>
      <c r="W8" s="151">
        <v>11</v>
      </c>
      <c r="X8" s="151">
        <v>38</v>
      </c>
      <c r="Y8" s="151">
        <v>104</v>
      </c>
      <c r="Z8" s="151">
        <v>127</v>
      </c>
      <c r="AA8" s="239">
        <v>280</v>
      </c>
      <c r="AB8" s="151">
        <v>9</v>
      </c>
      <c r="AC8" s="151">
        <v>108</v>
      </c>
      <c r="AD8" s="151">
        <v>9</v>
      </c>
      <c r="AE8" s="151">
        <v>9</v>
      </c>
      <c r="AF8" s="239">
        <v>135</v>
      </c>
      <c r="AG8" s="151">
        <v>62</v>
      </c>
      <c r="AH8" s="151">
        <v>101</v>
      </c>
      <c r="AI8" s="151">
        <v>9</v>
      </c>
      <c r="AJ8" s="151">
        <v>7</v>
      </c>
      <c r="AK8" s="239">
        <v>179</v>
      </c>
      <c r="AL8" s="151">
        <v>24</v>
      </c>
      <c r="AM8" s="151">
        <v>38</v>
      </c>
      <c r="AN8" s="151">
        <v>13</v>
      </c>
      <c r="AO8" s="151">
        <v>-1</v>
      </c>
      <c r="AP8" s="239">
        <v>74</v>
      </c>
      <c r="AQ8" s="151">
        <v>14</v>
      </c>
      <c r="AR8" s="151">
        <v>24</v>
      </c>
      <c r="AS8" s="151">
        <v>31</v>
      </c>
      <c r="AT8" s="151">
        <v>16</v>
      </c>
      <c r="AU8" s="239">
        <v>85</v>
      </c>
      <c r="AV8" s="151">
        <v>33</v>
      </c>
      <c r="AW8" s="151">
        <v>42</v>
      </c>
      <c r="AX8" s="151">
        <v>43</v>
      </c>
      <c r="AY8" s="151">
        <v>57</v>
      </c>
      <c r="AZ8" s="239">
        <v>175</v>
      </c>
      <c r="BA8" s="151">
        <v>48</v>
      </c>
      <c r="BB8" s="151">
        <v>44</v>
      </c>
      <c r="BC8" s="151">
        <v>47</v>
      </c>
      <c r="BD8" s="151">
        <v>49</v>
      </c>
      <c r="BE8" s="239">
        <v>188</v>
      </c>
      <c r="BF8" s="151">
        <v>44</v>
      </c>
      <c r="BG8" s="151">
        <v>46</v>
      </c>
      <c r="BH8" s="151">
        <v>48</v>
      </c>
      <c r="BI8" s="151">
        <v>48</v>
      </c>
      <c r="BJ8" s="239">
        <v>186</v>
      </c>
      <c r="BK8" s="577"/>
      <c r="BL8" s="467"/>
    </row>
    <row r="9" spans="2:64" s="1" customFormat="1" ht="11.25">
      <c r="B9" s="89" t="str">
        <f>names!A460</f>
        <v>Koszty operacyjne ogółem</v>
      </c>
      <c r="C9" s="145">
        <v>-8165</v>
      </c>
      <c r="D9" s="145">
        <v>-9032</v>
      </c>
      <c r="E9" s="145">
        <v>-9774</v>
      </c>
      <c r="F9" s="145">
        <f>-8725+1</f>
        <v>-8724</v>
      </c>
      <c r="G9" s="237">
        <v>-35695</v>
      </c>
      <c r="H9" s="145">
        <v>-8229</v>
      </c>
      <c r="I9" s="145">
        <v>-9046</v>
      </c>
      <c r="J9" s="145">
        <v>-9480</v>
      </c>
      <c r="K9" s="145">
        <v>-8260</v>
      </c>
      <c r="L9" s="237">
        <v>-35015</v>
      </c>
      <c r="M9" s="145">
        <v>-6875</v>
      </c>
      <c r="N9" s="145">
        <v>-7894</v>
      </c>
      <c r="O9" s="145">
        <v>-7897</v>
      </c>
      <c r="P9" s="145">
        <v>-7268</v>
      </c>
      <c r="Q9" s="237">
        <v>-29934</v>
      </c>
      <c r="R9" s="145">
        <v>-6104</v>
      </c>
      <c r="S9" s="145">
        <v>-7351</v>
      </c>
      <c r="T9" s="145">
        <v>-7572</v>
      </c>
      <c r="U9" s="145">
        <v>-7654</v>
      </c>
      <c r="V9" s="237">
        <v>-28681</v>
      </c>
      <c r="W9" s="145">
        <v>-7634</v>
      </c>
      <c r="X9" s="145">
        <v>-8111</v>
      </c>
      <c r="Y9" s="145">
        <v>-8406</v>
      </c>
      <c r="Z9" s="145">
        <v>-7835</v>
      </c>
      <c r="AA9" s="237">
        <v>-31986</v>
      </c>
      <c r="AB9" s="145">
        <v>-7576</v>
      </c>
      <c r="AC9" s="145">
        <v>-8727</v>
      </c>
      <c r="AD9" s="145">
        <v>-9680</v>
      </c>
      <c r="AE9" s="145">
        <v>-9156</v>
      </c>
      <c r="AF9" s="237">
        <v>-35139</v>
      </c>
      <c r="AG9" s="145">
        <v>-8085</v>
      </c>
      <c r="AH9" s="145">
        <v>-9578</v>
      </c>
      <c r="AI9" s="145">
        <v>-9612</v>
      </c>
      <c r="AJ9" s="145">
        <v>-9370</v>
      </c>
      <c r="AK9" s="237">
        <v>-36645</v>
      </c>
      <c r="AL9" s="145">
        <v>-8085</v>
      </c>
      <c r="AM9" s="145">
        <v>-5797</v>
      </c>
      <c r="AN9" s="145">
        <v>-7707</v>
      </c>
      <c r="AO9" s="145">
        <v>-6750</v>
      </c>
      <c r="AP9" s="237">
        <v>-28339</v>
      </c>
      <c r="AQ9" s="145">
        <v>-7471</v>
      </c>
      <c r="AR9" s="145">
        <v>-9180</v>
      </c>
      <c r="AS9" s="145">
        <v>-10985</v>
      </c>
      <c r="AT9" s="145">
        <v>-11443</v>
      </c>
      <c r="AU9" s="237">
        <v>-39079</v>
      </c>
      <c r="AV9" s="145">
        <v>-12689</v>
      </c>
      <c r="AW9" s="145">
        <v>-16818</v>
      </c>
      <c r="AX9" s="145">
        <v>-17776</v>
      </c>
      <c r="AY9" s="145">
        <v>-16265</v>
      </c>
      <c r="AZ9" s="237">
        <v>-63548</v>
      </c>
      <c r="BA9" s="145">
        <v>-13154</v>
      </c>
      <c r="BB9" s="145">
        <v>-13163</v>
      </c>
      <c r="BC9" s="145">
        <v>-15018</v>
      </c>
      <c r="BD9" s="145">
        <v>-14759</v>
      </c>
      <c r="BE9" s="237">
        <v>-56094</v>
      </c>
      <c r="BF9" s="145">
        <v>-14441</v>
      </c>
      <c r="BG9" s="145">
        <v>-15782</v>
      </c>
      <c r="BH9" s="145">
        <v>-15418</v>
      </c>
      <c r="BI9" s="145">
        <v>-14102</v>
      </c>
      <c r="BJ9" s="237">
        <v>-59775</v>
      </c>
      <c r="BK9" s="577"/>
      <c r="BL9" s="467"/>
    </row>
    <row r="10" spans="2:64" s="1" customFormat="1" ht="11.25">
      <c r="B10" s="20" t="str">
        <f>names!A461</f>
        <v>Pozostałe przychody operacyjne</v>
      </c>
      <c r="C10" s="131">
        <v>15</v>
      </c>
      <c r="D10" s="131">
        <v>42</v>
      </c>
      <c r="E10" s="131">
        <v>9</v>
      </c>
      <c r="F10" s="131">
        <f>23+1</f>
        <v>24</v>
      </c>
      <c r="G10" s="229">
        <v>90</v>
      </c>
      <c r="H10" s="131">
        <v>35</v>
      </c>
      <c r="I10" s="131">
        <v>29</v>
      </c>
      <c r="J10" s="131">
        <v>10</v>
      </c>
      <c r="K10" s="131">
        <v>108</v>
      </c>
      <c r="L10" s="229">
        <v>182</v>
      </c>
      <c r="M10" s="131">
        <v>14</v>
      </c>
      <c r="N10" s="131">
        <v>9</v>
      </c>
      <c r="O10" s="131">
        <v>12</v>
      </c>
      <c r="P10" s="131">
        <v>15</v>
      </c>
      <c r="Q10" s="229">
        <v>50</v>
      </c>
      <c r="R10" s="131">
        <v>14</v>
      </c>
      <c r="S10" s="131">
        <v>22</v>
      </c>
      <c r="T10" s="131">
        <v>12</v>
      </c>
      <c r="U10" s="131">
        <v>39</v>
      </c>
      <c r="V10" s="229">
        <v>87</v>
      </c>
      <c r="W10" s="131">
        <v>17</v>
      </c>
      <c r="X10" s="131">
        <v>13</v>
      </c>
      <c r="Y10" s="131">
        <v>20</v>
      </c>
      <c r="Z10" s="131">
        <v>55</v>
      </c>
      <c r="AA10" s="229">
        <v>105</v>
      </c>
      <c r="AB10" s="131">
        <v>22</v>
      </c>
      <c r="AC10" s="131">
        <v>15</v>
      </c>
      <c r="AD10" s="131">
        <v>19</v>
      </c>
      <c r="AE10" s="131">
        <v>58</v>
      </c>
      <c r="AF10" s="229">
        <v>114</v>
      </c>
      <c r="AG10" s="131">
        <v>17</v>
      </c>
      <c r="AH10" s="131">
        <v>38</v>
      </c>
      <c r="AI10" s="131">
        <v>7</v>
      </c>
      <c r="AJ10" s="131">
        <v>105</v>
      </c>
      <c r="AK10" s="229">
        <v>167</v>
      </c>
      <c r="AL10" s="131">
        <v>10</v>
      </c>
      <c r="AM10" s="131">
        <v>25</v>
      </c>
      <c r="AN10" s="131">
        <v>10</v>
      </c>
      <c r="AO10" s="131">
        <v>78</v>
      </c>
      <c r="AP10" s="229">
        <v>123</v>
      </c>
      <c r="AQ10" s="131">
        <v>18</v>
      </c>
      <c r="AR10" s="131">
        <v>14</v>
      </c>
      <c r="AS10" s="131">
        <v>14</v>
      </c>
      <c r="AT10" s="131">
        <v>74</v>
      </c>
      <c r="AU10" s="229">
        <v>120</v>
      </c>
      <c r="AV10" s="131">
        <v>12</v>
      </c>
      <c r="AW10" s="131">
        <v>13</v>
      </c>
      <c r="AX10" s="131">
        <v>9</v>
      </c>
      <c r="AY10" s="131">
        <v>68</v>
      </c>
      <c r="AZ10" s="229">
        <v>102</v>
      </c>
      <c r="BA10" s="131">
        <v>14</v>
      </c>
      <c r="BB10" s="131">
        <v>12</v>
      </c>
      <c r="BC10" s="131">
        <v>62</v>
      </c>
      <c r="BD10" s="131">
        <v>167</v>
      </c>
      <c r="BE10" s="229">
        <v>246</v>
      </c>
      <c r="BF10" s="131">
        <v>13</v>
      </c>
      <c r="BG10" s="131">
        <v>12</v>
      </c>
      <c r="BH10" s="131">
        <v>17</v>
      </c>
      <c r="BI10" s="131">
        <v>90</v>
      </c>
      <c r="BJ10" s="229">
        <v>137</v>
      </c>
      <c r="BK10" s="577"/>
      <c r="BL10" s="467"/>
    </row>
    <row r="11" spans="2:64" s="1" customFormat="1" ht="11.25">
      <c r="B11" s="20" t="str">
        <f>names!A462</f>
        <v>Pozostałe koszty operacyjne</v>
      </c>
      <c r="C11" s="131">
        <v>-15</v>
      </c>
      <c r="D11" s="131">
        <v>-42</v>
      </c>
      <c r="E11" s="131">
        <v>-21</v>
      </c>
      <c r="F11" s="131">
        <v>-24</v>
      </c>
      <c r="G11" s="229">
        <v>-102</v>
      </c>
      <c r="H11" s="131">
        <v>-24</v>
      </c>
      <c r="I11" s="131">
        <v>-31</v>
      </c>
      <c r="J11" s="131">
        <v>-10</v>
      </c>
      <c r="K11" s="131">
        <v>-121</v>
      </c>
      <c r="L11" s="229">
        <v>-186</v>
      </c>
      <c r="M11" s="131">
        <v>-12</v>
      </c>
      <c r="N11" s="131">
        <v>-13</v>
      </c>
      <c r="O11" s="131">
        <v>-14</v>
      </c>
      <c r="P11" s="131">
        <v>-28</v>
      </c>
      <c r="Q11" s="229">
        <v>-67</v>
      </c>
      <c r="R11" s="131">
        <v>-14</v>
      </c>
      <c r="S11" s="131">
        <v>-24</v>
      </c>
      <c r="T11" s="131">
        <v>-32</v>
      </c>
      <c r="U11" s="131">
        <v>-55</v>
      </c>
      <c r="V11" s="229">
        <v>-125</v>
      </c>
      <c r="W11" s="131">
        <v>-17</v>
      </c>
      <c r="X11" s="131">
        <v>-29</v>
      </c>
      <c r="Y11" s="131">
        <v>-27</v>
      </c>
      <c r="Z11" s="131">
        <v>-60</v>
      </c>
      <c r="AA11" s="229">
        <v>-133</v>
      </c>
      <c r="AB11" s="131">
        <v>-17</v>
      </c>
      <c r="AC11" s="131">
        <v>-23</v>
      </c>
      <c r="AD11" s="131">
        <v>-26</v>
      </c>
      <c r="AE11" s="131">
        <v>-75</v>
      </c>
      <c r="AF11" s="229">
        <v>-141</v>
      </c>
      <c r="AG11" s="131">
        <v>-15</v>
      </c>
      <c r="AH11" s="131">
        <v>-46</v>
      </c>
      <c r="AI11" s="131">
        <v>-18</v>
      </c>
      <c r="AJ11" s="131">
        <v>-94</v>
      </c>
      <c r="AK11" s="229">
        <v>-173</v>
      </c>
      <c r="AL11" s="131">
        <v>-23</v>
      </c>
      <c r="AM11" s="131">
        <v>-37</v>
      </c>
      <c r="AN11" s="131">
        <v>-10</v>
      </c>
      <c r="AO11" s="131">
        <v>-148</v>
      </c>
      <c r="AP11" s="229">
        <v>-218</v>
      </c>
      <c r="AQ11" s="131">
        <v>-20</v>
      </c>
      <c r="AR11" s="131">
        <v>-14</v>
      </c>
      <c r="AS11" s="131">
        <v>-11</v>
      </c>
      <c r="AT11" s="131">
        <v>-113</v>
      </c>
      <c r="AU11" s="229">
        <v>-158</v>
      </c>
      <c r="AV11" s="131">
        <v>-30</v>
      </c>
      <c r="AW11" s="131">
        <v>-13</v>
      </c>
      <c r="AX11" s="131">
        <v>-20</v>
      </c>
      <c r="AY11" s="131">
        <v>-101</v>
      </c>
      <c r="AZ11" s="229">
        <v>-164</v>
      </c>
      <c r="BA11" s="131">
        <v>-17</v>
      </c>
      <c r="BB11" s="131">
        <v>-17</v>
      </c>
      <c r="BC11" s="131">
        <v>-28</v>
      </c>
      <c r="BD11" s="131">
        <v>-69</v>
      </c>
      <c r="BE11" s="229">
        <v>-131</v>
      </c>
      <c r="BF11" s="131">
        <v>-17</v>
      </c>
      <c r="BG11" s="131">
        <v>-16</v>
      </c>
      <c r="BH11" s="131">
        <v>-29</v>
      </c>
      <c r="BI11" s="131">
        <v>-281</v>
      </c>
      <c r="BJ11" s="229">
        <v>-444</v>
      </c>
      <c r="BK11" s="577"/>
      <c r="BL11" s="467"/>
    </row>
    <row r="12" spans="2:64" s="1" customFormat="1" ht="11.25">
      <c r="B12" s="94" t="str">
        <f>names!A463</f>
        <v>Pozostałe przychody/koszty operacyjne netto</v>
      </c>
      <c r="C12" s="133">
        <v>0</v>
      </c>
      <c r="D12" s="133">
        <v>0</v>
      </c>
      <c r="E12" s="133">
        <v>-12</v>
      </c>
      <c r="F12" s="133">
        <f>-1+1</f>
        <v>0</v>
      </c>
      <c r="G12" s="230">
        <v>-12</v>
      </c>
      <c r="H12" s="133">
        <v>11</v>
      </c>
      <c r="I12" s="133">
        <v>-2</v>
      </c>
      <c r="J12" s="133">
        <v>0</v>
      </c>
      <c r="K12" s="133">
        <v>-13</v>
      </c>
      <c r="L12" s="230">
        <v>-4</v>
      </c>
      <c r="M12" s="133">
        <v>2</v>
      </c>
      <c r="N12" s="133">
        <v>-4</v>
      </c>
      <c r="O12" s="133">
        <v>-2</v>
      </c>
      <c r="P12" s="133">
        <v>-13</v>
      </c>
      <c r="Q12" s="230">
        <v>-17</v>
      </c>
      <c r="R12" s="133">
        <v>0</v>
      </c>
      <c r="S12" s="133">
        <v>-2</v>
      </c>
      <c r="T12" s="133">
        <v>-20</v>
      </c>
      <c r="U12" s="133">
        <v>-16</v>
      </c>
      <c r="V12" s="230">
        <v>-38</v>
      </c>
      <c r="W12" s="133">
        <v>0</v>
      </c>
      <c r="X12" s="133">
        <v>-16</v>
      </c>
      <c r="Y12" s="133">
        <v>-7</v>
      </c>
      <c r="Z12" s="133">
        <v>-5</v>
      </c>
      <c r="AA12" s="230">
        <v>-28</v>
      </c>
      <c r="AB12" s="133">
        <v>5</v>
      </c>
      <c r="AC12" s="133">
        <v>-8</v>
      </c>
      <c r="AD12" s="133">
        <v>-7</v>
      </c>
      <c r="AE12" s="133">
        <v>-17</v>
      </c>
      <c r="AF12" s="230">
        <v>-27</v>
      </c>
      <c r="AG12" s="133">
        <v>2</v>
      </c>
      <c r="AH12" s="133">
        <v>-8</v>
      </c>
      <c r="AI12" s="133">
        <v>-11</v>
      </c>
      <c r="AJ12" s="133">
        <v>11</v>
      </c>
      <c r="AK12" s="230">
        <v>-6</v>
      </c>
      <c r="AL12" s="133">
        <v>-13</v>
      </c>
      <c r="AM12" s="133">
        <v>-12</v>
      </c>
      <c r="AN12" s="133">
        <v>0</v>
      </c>
      <c r="AO12" s="133">
        <v>-70</v>
      </c>
      <c r="AP12" s="230">
        <v>-95</v>
      </c>
      <c r="AQ12" s="133">
        <v>-2</v>
      </c>
      <c r="AR12" s="133">
        <v>0</v>
      </c>
      <c r="AS12" s="133">
        <v>3</v>
      </c>
      <c r="AT12" s="133">
        <v>-39</v>
      </c>
      <c r="AU12" s="230">
        <v>-38</v>
      </c>
      <c r="AV12" s="133">
        <v>-18</v>
      </c>
      <c r="AW12" s="133">
        <v>0</v>
      </c>
      <c r="AX12" s="133">
        <v>-11</v>
      </c>
      <c r="AY12" s="133">
        <v>-33</v>
      </c>
      <c r="AZ12" s="230">
        <v>-62</v>
      </c>
      <c r="BA12" s="133">
        <v>-3</v>
      </c>
      <c r="BB12" s="133">
        <v>-5</v>
      </c>
      <c r="BC12" s="133">
        <v>34</v>
      </c>
      <c r="BD12" s="133">
        <v>98</v>
      </c>
      <c r="BE12" s="230">
        <v>115</v>
      </c>
      <c r="BF12" s="133">
        <v>-4</v>
      </c>
      <c r="BG12" s="133">
        <v>-4</v>
      </c>
      <c r="BH12" s="133">
        <v>-12</v>
      </c>
      <c r="BI12" s="133">
        <v>-191</v>
      </c>
      <c r="BJ12" s="230">
        <v>-307</v>
      </c>
      <c r="BK12" s="577"/>
      <c r="BL12" s="467"/>
    </row>
    <row r="13" spans="2:64" s="1" customFormat="1" ht="23.25" thickBot="1">
      <c r="B13" s="20" t="str">
        <f>names!A464</f>
        <v>(Strata)/odwrócenie straty z tytułu utraty wartości należności handlowych (w tym odsetek od należności handlowych)</v>
      </c>
      <c r="C13" s="131">
        <v>0</v>
      </c>
      <c r="D13" s="131">
        <v>0</v>
      </c>
      <c r="E13" s="131">
        <v>0</v>
      </c>
      <c r="F13" s="131">
        <v>0</v>
      </c>
      <c r="G13" s="229">
        <v>0</v>
      </c>
      <c r="H13" s="131">
        <v>0</v>
      </c>
      <c r="I13" s="131">
        <v>0</v>
      </c>
      <c r="J13" s="131">
        <v>0</v>
      </c>
      <c r="K13" s="131">
        <v>0</v>
      </c>
      <c r="L13" s="229">
        <v>0</v>
      </c>
      <c r="M13" s="131">
        <v>0</v>
      </c>
      <c r="N13" s="131">
        <v>0</v>
      </c>
      <c r="O13" s="131">
        <v>0</v>
      </c>
      <c r="P13" s="131">
        <v>0</v>
      </c>
      <c r="Q13" s="229">
        <v>0</v>
      </c>
      <c r="R13" s="131">
        <v>0</v>
      </c>
      <c r="S13" s="131">
        <v>0</v>
      </c>
      <c r="T13" s="131">
        <v>0</v>
      </c>
      <c r="U13" s="131">
        <v>0</v>
      </c>
      <c r="V13" s="229">
        <v>0</v>
      </c>
      <c r="W13" s="131">
        <v>0</v>
      </c>
      <c r="X13" s="131">
        <v>0</v>
      </c>
      <c r="Y13" s="131">
        <v>0</v>
      </c>
      <c r="Z13" s="131">
        <v>0</v>
      </c>
      <c r="AA13" s="229">
        <v>0</v>
      </c>
      <c r="AB13" s="131">
        <v>0</v>
      </c>
      <c r="AC13" s="131">
        <v>-1</v>
      </c>
      <c r="AD13" s="131">
        <v>-1</v>
      </c>
      <c r="AE13" s="131">
        <v>0</v>
      </c>
      <c r="AF13" s="229">
        <v>-2</v>
      </c>
      <c r="AG13" s="131">
        <v>-2</v>
      </c>
      <c r="AH13" s="131">
        <v>-2</v>
      </c>
      <c r="AI13" s="131">
        <v>-2</v>
      </c>
      <c r="AJ13" s="131">
        <v>-1</v>
      </c>
      <c r="AK13" s="229">
        <v>-7</v>
      </c>
      <c r="AL13" s="131">
        <v>0</v>
      </c>
      <c r="AM13" s="131">
        <v>-2</v>
      </c>
      <c r="AN13" s="131">
        <v>-1</v>
      </c>
      <c r="AO13" s="131">
        <v>-1</v>
      </c>
      <c r="AP13" s="229">
        <v>-4</v>
      </c>
      <c r="AQ13" s="131">
        <v>0</v>
      </c>
      <c r="AR13" s="131">
        <v>-4</v>
      </c>
      <c r="AS13" s="131">
        <v>-2</v>
      </c>
      <c r="AT13" s="131">
        <v>1</v>
      </c>
      <c r="AU13" s="229">
        <v>-5</v>
      </c>
      <c r="AV13" s="131">
        <v>-1</v>
      </c>
      <c r="AW13" s="131">
        <v>0</v>
      </c>
      <c r="AX13" s="131">
        <v>-1</v>
      </c>
      <c r="AY13" s="131">
        <v>-4</v>
      </c>
      <c r="AZ13" s="229">
        <v>-6</v>
      </c>
      <c r="BA13" s="131">
        <v>0</v>
      </c>
      <c r="BB13" s="131">
        <v>-1</v>
      </c>
      <c r="BC13" s="131">
        <v>1</v>
      </c>
      <c r="BD13" s="131">
        <v>-2</v>
      </c>
      <c r="BE13" s="229">
        <v>-3</v>
      </c>
      <c r="BF13" s="131">
        <v>0</v>
      </c>
      <c r="BG13" s="131">
        <v>0</v>
      </c>
      <c r="BH13" s="131">
        <v>-1</v>
      </c>
      <c r="BI13" s="131">
        <v>-11</v>
      </c>
      <c r="BJ13" s="229">
        <v>-12</v>
      </c>
      <c r="BK13" s="577"/>
      <c r="BL13" s="467"/>
    </row>
    <row r="14" spans="2:64" s="1" customFormat="1" ht="23.25" thickBot="1">
      <c r="B14" s="58" t="str">
        <f>names!A491</f>
        <v>Zysk/(Strata) operacyjna powiększona o amortyzację (EBITDA) przed odpisami aktualizującymi</v>
      </c>
      <c r="C14" s="148">
        <v>123</v>
      </c>
      <c r="D14" s="148">
        <v>369</v>
      </c>
      <c r="E14" s="148">
        <v>451</v>
      </c>
      <c r="F14" s="148">
        <f>324+1</f>
        <v>325</v>
      </c>
      <c r="G14" s="202">
        <v>1268</v>
      </c>
      <c r="H14" s="148">
        <v>237</v>
      </c>
      <c r="I14" s="148">
        <v>359</v>
      </c>
      <c r="J14" s="148">
        <v>441</v>
      </c>
      <c r="K14" s="148">
        <v>379</v>
      </c>
      <c r="L14" s="202">
        <v>1416</v>
      </c>
      <c r="M14" s="148">
        <v>282</v>
      </c>
      <c r="N14" s="148">
        <v>349</v>
      </c>
      <c r="O14" s="148">
        <v>539</v>
      </c>
      <c r="P14" s="148">
        <v>369</v>
      </c>
      <c r="Q14" s="202">
        <v>1539</v>
      </c>
      <c r="R14" s="148">
        <v>301</v>
      </c>
      <c r="S14" s="148">
        <v>441</v>
      </c>
      <c r="T14" s="148">
        <v>619</v>
      </c>
      <c r="U14" s="148">
        <v>440</v>
      </c>
      <c r="V14" s="202">
        <v>1801</v>
      </c>
      <c r="W14" s="148">
        <v>372</v>
      </c>
      <c r="X14" s="148">
        <v>576</v>
      </c>
      <c r="Y14" s="148">
        <v>610</v>
      </c>
      <c r="Z14" s="148">
        <v>491</v>
      </c>
      <c r="AA14" s="202">
        <v>2049</v>
      </c>
      <c r="AB14" s="148">
        <v>464</v>
      </c>
      <c r="AC14" s="148">
        <v>677</v>
      </c>
      <c r="AD14" s="148">
        <v>723</v>
      </c>
      <c r="AE14" s="148">
        <v>917</v>
      </c>
      <c r="AF14" s="202">
        <v>2781</v>
      </c>
      <c r="AG14" s="148">
        <v>676</v>
      </c>
      <c r="AH14" s="148">
        <v>859</v>
      </c>
      <c r="AI14" s="148">
        <v>925</v>
      </c>
      <c r="AJ14" s="148">
        <v>585</v>
      </c>
      <c r="AK14" s="202">
        <v>3045</v>
      </c>
      <c r="AL14" s="148">
        <v>706</v>
      </c>
      <c r="AM14" s="148">
        <v>726</v>
      </c>
      <c r="AN14" s="148">
        <v>1035</v>
      </c>
      <c r="AO14" s="148">
        <v>765</v>
      </c>
      <c r="AP14" s="202">
        <v>3232</v>
      </c>
      <c r="AQ14" s="148">
        <v>548</v>
      </c>
      <c r="AR14" s="148">
        <v>828</v>
      </c>
      <c r="AS14" s="148">
        <v>948</v>
      </c>
      <c r="AT14" s="148">
        <v>573</v>
      </c>
      <c r="AU14" s="202">
        <v>2897</v>
      </c>
      <c r="AV14" s="148">
        <v>585</v>
      </c>
      <c r="AW14" s="148">
        <v>697</v>
      </c>
      <c r="AX14" s="148">
        <v>856</v>
      </c>
      <c r="AY14" s="148">
        <v>633</v>
      </c>
      <c r="AZ14" s="202">
        <v>2771</v>
      </c>
      <c r="BA14" s="148">
        <v>233</v>
      </c>
      <c r="BB14" s="148">
        <v>662</v>
      </c>
      <c r="BC14" s="148">
        <v>600</v>
      </c>
      <c r="BD14" s="148">
        <v>708</v>
      </c>
      <c r="BE14" s="202">
        <v>2193</v>
      </c>
      <c r="BF14" s="148">
        <v>511</v>
      </c>
      <c r="BG14" s="148">
        <v>893</v>
      </c>
      <c r="BH14" s="148">
        <v>1077</v>
      </c>
      <c r="BI14" s="148">
        <v>660</v>
      </c>
      <c r="BJ14" s="202">
        <v>3142</v>
      </c>
      <c r="BK14" s="577"/>
      <c r="BL14" s="467"/>
    </row>
    <row r="15" spans="2:64" s="56" customFormat="1" ht="12" thickBot="1">
      <c r="B15" s="58" t="str">
        <f>names!A492</f>
        <v>Zysk operacyjny powiększony o amortyzację (EBITDA)</v>
      </c>
      <c r="C15" s="148">
        <v>123</v>
      </c>
      <c r="D15" s="148">
        <v>369</v>
      </c>
      <c r="E15" s="148">
        <v>451</v>
      </c>
      <c r="F15" s="148">
        <f>324+1</f>
        <v>325</v>
      </c>
      <c r="G15" s="202">
        <v>1268</v>
      </c>
      <c r="H15" s="148">
        <v>234</v>
      </c>
      <c r="I15" s="148">
        <v>357</v>
      </c>
      <c r="J15" s="148">
        <v>441</v>
      </c>
      <c r="K15" s="148">
        <v>408</v>
      </c>
      <c r="L15" s="202">
        <v>1440</v>
      </c>
      <c r="M15" s="148">
        <v>283</v>
      </c>
      <c r="N15" s="148">
        <v>343</v>
      </c>
      <c r="O15" s="148">
        <v>544</v>
      </c>
      <c r="P15" s="148">
        <v>369</v>
      </c>
      <c r="Q15" s="202">
        <v>1539</v>
      </c>
      <c r="R15" s="148">
        <v>300</v>
      </c>
      <c r="S15" s="148">
        <v>442</v>
      </c>
      <c r="T15" s="148">
        <v>618</v>
      </c>
      <c r="U15" s="148">
        <v>434</v>
      </c>
      <c r="V15" s="202">
        <v>1794</v>
      </c>
      <c r="W15" s="148">
        <v>372</v>
      </c>
      <c r="X15" s="148">
        <v>564</v>
      </c>
      <c r="Y15" s="148">
        <v>609</v>
      </c>
      <c r="Z15" s="148">
        <v>493</v>
      </c>
      <c r="AA15" s="202">
        <v>2038</v>
      </c>
      <c r="AB15" s="148">
        <v>471</v>
      </c>
      <c r="AC15" s="148">
        <v>677</v>
      </c>
      <c r="AD15" s="148">
        <v>712</v>
      </c>
      <c r="AE15" s="148">
        <v>907</v>
      </c>
      <c r="AF15" s="202">
        <v>2767</v>
      </c>
      <c r="AG15" s="148">
        <v>678</v>
      </c>
      <c r="AH15" s="148">
        <v>855</v>
      </c>
      <c r="AI15" s="148">
        <v>924</v>
      </c>
      <c r="AJ15" s="148">
        <v>604</v>
      </c>
      <c r="AK15" s="202">
        <v>3061</v>
      </c>
      <c r="AL15" s="148">
        <v>702</v>
      </c>
      <c r="AM15" s="148">
        <v>719</v>
      </c>
      <c r="AN15" s="148">
        <v>1033</v>
      </c>
      <c r="AO15" s="148">
        <v>739</v>
      </c>
      <c r="AP15" s="202">
        <v>3193</v>
      </c>
      <c r="AQ15" s="148">
        <v>546</v>
      </c>
      <c r="AR15" s="148">
        <v>824</v>
      </c>
      <c r="AS15" s="148">
        <v>946</v>
      </c>
      <c r="AT15" s="148">
        <v>534</v>
      </c>
      <c r="AU15" s="202">
        <v>2850</v>
      </c>
      <c r="AV15" s="148">
        <v>583</v>
      </c>
      <c r="AW15" s="148">
        <v>695</v>
      </c>
      <c r="AX15" s="148">
        <v>855</v>
      </c>
      <c r="AY15" s="148">
        <v>624</v>
      </c>
      <c r="AZ15" s="202">
        <v>2757</v>
      </c>
      <c r="BA15" s="148">
        <v>230</v>
      </c>
      <c r="BB15" s="148">
        <v>661</v>
      </c>
      <c r="BC15" s="148">
        <v>598</v>
      </c>
      <c r="BD15" s="148">
        <v>707</v>
      </c>
      <c r="BE15" s="202">
        <v>2186</v>
      </c>
      <c r="BF15" s="148">
        <v>511</v>
      </c>
      <c r="BG15" s="148">
        <v>893</v>
      </c>
      <c r="BH15" s="148">
        <v>1074</v>
      </c>
      <c r="BI15" s="148">
        <v>554</v>
      </c>
      <c r="BJ15" s="202">
        <v>2937</v>
      </c>
      <c r="BK15" s="577"/>
      <c r="BL15" s="467"/>
    </row>
    <row r="16" spans="2:64" s="1" customFormat="1" ht="12" thickBot="1">
      <c r="B16" s="386" t="str">
        <f>names!A493</f>
        <v>Zysk/(Strata) operacyjna (EBIT) przed odpisami aktualizującymi</v>
      </c>
      <c r="C16" s="148">
        <v>37</v>
      </c>
      <c r="D16" s="148">
        <v>282</v>
      </c>
      <c r="E16" s="148">
        <v>361</v>
      </c>
      <c r="F16" s="148">
        <f>235+2</f>
        <v>237</v>
      </c>
      <c r="G16" s="202">
        <v>917</v>
      </c>
      <c r="H16" s="148">
        <v>147</v>
      </c>
      <c r="I16" s="148">
        <v>274</v>
      </c>
      <c r="J16" s="148">
        <v>352</v>
      </c>
      <c r="K16" s="148">
        <v>288</v>
      </c>
      <c r="L16" s="202">
        <v>1061</v>
      </c>
      <c r="M16" s="148">
        <v>191</v>
      </c>
      <c r="N16" s="148">
        <v>259</v>
      </c>
      <c r="O16" s="148">
        <v>447</v>
      </c>
      <c r="P16" s="148">
        <v>274</v>
      </c>
      <c r="Q16" s="202">
        <v>1171</v>
      </c>
      <c r="R16" s="148">
        <v>204</v>
      </c>
      <c r="S16" s="148">
        <v>342</v>
      </c>
      <c r="T16" s="148">
        <v>520</v>
      </c>
      <c r="U16" s="148">
        <v>343</v>
      </c>
      <c r="V16" s="202">
        <v>1409</v>
      </c>
      <c r="W16" s="148">
        <v>269</v>
      </c>
      <c r="X16" s="148">
        <v>473</v>
      </c>
      <c r="Y16" s="148">
        <v>506</v>
      </c>
      <c r="Z16" s="148">
        <v>379</v>
      </c>
      <c r="AA16" s="202">
        <v>1627</v>
      </c>
      <c r="AB16" s="148">
        <v>350</v>
      </c>
      <c r="AC16" s="148">
        <v>563</v>
      </c>
      <c r="AD16" s="148">
        <v>608</v>
      </c>
      <c r="AE16" s="148">
        <v>799</v>
      </c>
      <c r="AF16" s="202">
        <v>2320</v>
      </c>
      <c r="AG16" s="148">
        <v>519</v>
      </c>
      <c r="AH16" s="148">
        <v>706</v>
      </c>
      <c r="AI16" s="148">
        <v>767</v>
      </c>
      <c r="AJ16" s="148">
        <v>423</v>
      </c>
      <c r="AK16" s="202">
        <v>2415</v>
      </c>
      <c r="AL16" s="148">
        <v>539</v>
      </c>
      <c r="AM16" s="148">
        <v>542</v>
      </c>
      <c r="AN16" s="148">
        <v>859</v>
      </c>
      <c r="AO16" s="148">
        <v>572</v>
      </c>
      <c r="AP16" s="202">
        <v>2512</v>
      </c>
      <c r="AQ16" s="148">
        <v>342</v>
      </c>
      <c r="AR16" s="148">
        <v>629</v>
      </c>
      <c r="AS16" s="148">
        <v>745</v>
      </c>
      <c r="AT16" s="148">
        <v>376</v>
      </c>
      <c r="AU16" s="202">
        <v>2092</v>
      </c>
      <c r="AV16" s="148">
        <v>379</v>
      </c>
      <c r="AW16" s="148">
        <v>487</v>
      </c>
      <c r="AX16" s="148">
        <v>642</v>
      </c>
      <c r="AY16" s="148">
        <v>394</v>
      </c>
      <c r="AZ16" s="202">
        <v>1902</v>
      </c>
      <c r="BA16" s="148">
        <v>0</v>
      </c>
      <c r="BB16" s="148">
        <v>404</v>
      </c>
      <c r="BC16" s="148">
        <v>350</v>
      </c>
      <c r="BD16" s="148">
        <v>438</v>
      </c>
      <c r="BE16" s="202">
        <v>1182</v>
      </c>
      <c r="BF16" s="148">
        <v>236</v>
      </c>
      <c r="BG16" s="148">
        <v>609</v>
      </c>
      <c r="BH16" s="148">
        <v>785</v>
      </c>
      <c r="BI16" s="148">
        <v>318</v>
      </c>
      <c r="BJ16" s="202">
        <v>1916</v>
      </c>
      <c r="BK16" s="577"/>
      <c r="BL16" s="467"/>
    </row>
    <row r="17" spans="2:64" s="56" customFormat="1" ht="12" thickBot="1">
      <c r="B17" s="93" t="str">
        <f>names!A494</f>
        <v>Zysk/(Strata) operacyjna (EBIT)</v>
      </c>
      <c r="C17" s="153">
        <v>37</v>
      </c>
      <c r="D17" s="153">
        <v>282</v>
      </c>
      <c r="E17" s="153">
        <v>361</v>
      </c>
      <c r="F17" s="153">
        <f>235+2</f>
        <v>237</v>
      </c>
      <c r="G17" s="240">
        <v>917</v>
      </c>
      <c r="H17" s="153">
        <v>144</v>
      </c>
      <c r="I17" s="153">
        <v>272</v>
      </c>
      <c r="J17" s="153">
        <v>352</v>
      </c>
      <c r="K17" s="153">
        <v>317</v>
      </c>
      <c r="L17" s="240">
        <v>1085</v>
      </c>
      <c r="M17" s="153">
        <v>192</v>
      </c>
      <c r="N17" s="153">
        <v>253</v>
      </c>
      <c r="O17" s="153">
        <v>452</v>
      </c>
      <c r="P17" s="153">
        <v>274</v>
      </c>
      <c r="Q17" s="240">
        <v>1171</v>
      </c>
      <c r="R17" s="153">
        <v>203</v>
      </c>
      <c r="S17" s="153">
        <v>343</v>
      </c>
      <c r="T17" s="153">
        <v>519</v>
      </c>
      <c r="U17" s="153">
        <v>337</v>
      </c>
      <c r="V17" s="240">
        <v>1402</v>
      </c>
      <c r="W17" s="153">
        <v>269</v>
      </c>
      <c r="X17" s="153">
        <v>461</v>
      </c>
      <c r="Y17" s="153">
        <v>505</v>
      </c>
      <c r="Z17" s="153">
        <v>381</v>
      </c>
      <c r="AA17" s="240">
        <v>1616</v>
      </c>
      <c r="AB17" s="153">
        <v>357</v>
      </c>
      <c r="AC17" s="153">
        <v>563</v>
      </c>
      <c r="AD17" s="153">
        <v>597</v>
      </c>
      <c r="AE17" s="153">
        <v>789</v>
      </c>
      <c r="AF17" s="240">
        <v>2306</v>
      </c>
      <c r="AG17" s="153">
        <v>521</v>
      </c>
      <c r="AH17" s="153">
        <v>702</v>
      </c>
      <c r="AI17" s="153">
        <v>766</v>
      </c>
      <c r="AJ17" s="153">
        <v>442</v>
      </c>
      <c r="AK17" s="240">
        <v>2431</v>
      </c>
      <c r="AL17" s="153">
        <v>535</v>
      </c>
      <c r="AM17" s="153">
        <v>535</v>
      </c>
      <c r="AN17" s="153">
        <v>857</v>
      </c>
      <c r="AO17" s="153">
        <v>546</v>
      </c>
      <c r="AP17" s="240">
        <v>2473</v>
      </c>
      <c r="AQ17" s="153">
        <v>340</v>
      </c>
      <c r="AR17" s="153">
        <v>625</v>
      </c>
      <c r="AS17" s="153">
        <v>743</v>
      </c>
      <c r="AT17" s="153">
        <v>337</v>
      </c>
      <c r="AU17" s="240">
        <v>2045</v>
      </c>
      <c r="AV17" s="153">
        <v>377</v>
      </c>
      <c r="AW17" s="153">
        <v>485</v>
      </c>
      <c r="AX17" s="153">
        <v>641</v>
      </c>
      <c r="AY17" s="153">
        <v>385</v>
      </c>
      <c r="AZ17" s="240">
        <v>1888</v>
      </c>
      <c r="BA17" s="153">
        <v>-3</v>
      </c>
      <c r="BB17" s="153">
        <v>403</v>
      </c>
      <c r="BC17" s="153">
        <v>348</v>
      </c>
      <c r="BD17" s="153">
        <v>437</v>
      </c>
      <c r="BE17" s="240">
        <v>1175</v>
      </c>
      <c r="BF17" s="153">
        <v>236</v>
      </c>
      <c r="BG17" s="153">
        <v>609</v>
      </c>
      <c r="BH17" s="153">
        <v>782</v>
      </c>
      <c r="BI17" s="153">
        <v>212</v>
      </c>
      <c r="BJ17" s="240">
        <v>1711</v>
      </c>
      <c r="BK17" s="577"/>
      <c r="BL17" s="467"/>
    </row>
    <row r="18" spans="2:64" s="1" customFormat="1" ht="11.25">
      <c r="B18" s="42" t="str">
        <f>names!A495</f>
        <v>Zwiększenie aktywów trwałych **</v>
      </c>
      <c r="C18" s="149">
        <v>44</v>
      </c>
      <c r="D18" s="149">
        <v>60</v>
      </c>
      <c r="E18" s="149">
        <v>110</v>
      </c>
      <c r="F18" s="149">
        <v>253</v>
      </c>
      <c r="G18" s="241">
        <v>467</v>
      </c>
      <c r="H18" s="149">
        <v>28</v>
      </c>
      <c r="I18" s="149">
        <v>85</v>
      </c>
      <c r="J18" s="149">
        <v>83</v>
      </c>
      <c r="K18" s="149">
        <v>149</v>
      </c>
      <c r="L18" s="241">
        <v>345</v>
      </c>
      <c r="M18" s="149">
        <v>68</v>
      </c>
      <c r="N18" s="149">
        <v>82</v>
      </c>
      <c r="O18" s="149">
        <v>97</v>
      </c>
      <c r="P18" s="149">
        <v>201</v>
      </c>
      <c r="Q18" s="241">
        <v>448</v>
      </c>
      <c r="R18" s="149">
        <v>72</v>
      </c>
      <c r="S18" s="149">
        <v>76</v>
      </c>
      <c r="T18" s="149">
        <v>96</v>
      </c>
      <c r="U18" s="149">
        <v>235</v>
      </c>
      <c r="V18" s="241">
        <v>479</v>
      </c>
      <c r="W18" s="149">
        <v>88</v>
      </c>
      <c r="X18" s="149">
        <v>124</v>
      </c>
      <c r="Y18" s="149">
        <v>131</v>
      </c>
      <c r="Z18" s="149">
        <v>335</v>
      </c>
      <c r="AA18" s="241">
        <v>678</v>
      </c>
      <c r="AB18" s="149">
        <v>128</v>
      </c>
      <c r="AC18" s="149">
        <v>159</v>
      </c>
      <c r="AD18" s="149">
        <v>192</v>
      </c>
      <c r="AE18" s="149">
        <v>353</v>
      </c>
      <c r="AF18" s="241">
        <v>832</v>
      </c>
      <c r="AG18" s="149">
        <v>183</v>
      </c>
      <c r="AH18" s="149">
        <v>192</v>
      </c>
      <c r="AI18" s="149">
        <v>358</v>
      </c>
      <c r="AJ18" s="149">
        <v>658</v>
      </c>
      <c r="AK18" s="241">
        <v>1391</v>
      </c>
      <c r="AL18" s="149">
        <v>265</v>
      </c>
      <c r="AM18" s="149">
        <v>282</v>
      </c>
      <c r="AN18" s="149">
        <v>309</v>
      </c>
      <c r="AO18" s="149">
        <v>473</v>
      </c>
      <c r="AP18" s="241">
        <v>1329</v>
      </c>
      <c r="AQ18" s="149">
        <v>260</v>
      </c>
      <c r="AR18" s="149">
        <v>208</v>
      </c>
      <c r="AS18" s="149">
        <v>271</v>
      </c>
      <c r="AT18" s="149">
        <v>402</v>
      </c>
      <c r="AU18" s="241">
        <v>1141</v>
      </c>
      <c r="AV18" s="149">
        <v>280</v>
      </c>
      <c r="AW18" s="149">
        <v>245</v>
      </c>
      <c r="AX18" s="149">
        <v>269</v>
      </c>
      <c r="AY18" s="149">
        <v>615</v>
      </c>
      <c r="AZ18" s="241">
        <v>1409</v>
      </c>
      <c r="BA18" s="149">
        <v>594</v>
      </c>
      <c r="BB18" s="149">
        <v>393</v>
      </c>
      <c r="BC18" s="149">
        <v>348</v>
      </c>
      <c r="BD18" s="149">
        <v>656</v>
      </c>
      <c r="BE18" s="241">
        <v>1991</v>
      </c>
      <c r="BF18" s="149">
        <v>678</v>
      </c>
      <c r="BG18" s="149">
        <v>565</v>
      </c>
      <c r="BH18" s="149">
        <v>331</v>
      </c>
      <c r="BI18" s="149">
        <v>517</v>
      </c>
      <c r="BJ18" s="241">
        <v>2091</v>
      </c>
      <c r="BK18" s="577"/>
      <c r="BL18" s="467"/>
    </row>
    <row r="19" spans="2:64" s="56" customFormat="1" ht="11.25">
      <c r="B19" s="94" t="str">
        <f>names!A496</f>
        <v>Sprzedaż produktów (tys. ton)</v>
      </c>
      <c r="C19" s="133">
        <v>1659</v>
      </c>
      <c r="D19" s="133">
        <v>1933</v>
      </c>
      <c r="E19" s="133">
        <v>2052</v>
      </c>
      <c r="F19" s="133">
        <v>1872</v>
      </c>
      <c r="G19" s="230">
        <v>7516</v>
      </c>
      <c r="H19" s="133">
        <v>1763</v>
      </c>
      <c r="I19" s="133">
        <v>1957</v>
      </c>
      <c r="J19" s="133">
        <v>2088</v>
      </c>
      <c r="K19" s="133">
        <v>1968</v>
      </c>
      <c r="L19" s="230">
        <v>7776</v>
      </c>
      <c r="M19" s="133">
        <v>1839</v>
      </c>
      <c r="N19" s="133">
        <v>1983</v>
      </c>
      <c r="O19" s="133">
        <v>2133</v>
      </c>
      <c r="P19" s="133">
        <v>2031</v>
      </c>
      <c r="Q19" s="230">
        <v>7986</v>
      </c>
      <c r="R19" s="133">
        <v>1910</v>
      </c>
      <c r="S19" s="133">
        <v>2054</v>
      </c>
      <c r="T19" s="133">
        <v>2171</v>
      </c>
      <c r="U19" s="133">
        <v>2052</v>
      </c>
      <c r="V19" s="230">
        <v>8187</v>
      </c>
      <c r="W19" s="133">
        <v>1953</v>
      </c>
      <c r="X19" s="133">
        <v>2262</v>
      </c>
      <c r="Y19" s="133">
        <v>2336</v>
      </c>
      <c r="Z19" s="133">
        <v>2268</v>
      </c>
      <c r="AA19" s="230">
        <v>8819</v>
      </c>
      <c r="AB19" s="133">
        <v>2167</v>
      </c>
      <c r="AC19" s="133">
        <v>2375</v>
      </c>
      <c r="AD19" s="133">
        <v>2501</v>
      </c>
      <c r="AE19" s="133">
        <v>2405</v>
      </c>
      <c r="AF19" s="230">
        <v>9448</v>
      </c>
      <c r="AG19" s="133">
        <v>2236</v>
      </c>
      <c r="AH19" s="133">
        <v>2480</v>
      </c>
      <c r="AI19" s="133">
        <v>2620</v>
      </c>
      <c r="AJ19" s="133">
        <v>2481</v>
      </c>
      <c r="AK19" s="230">
        <v>9817</v>
      </c>
      <c r="AL19" s="133">
        <v>2213</v>
      </c>
      <c r="AM19" s="133">
        <v>1988</v>
      </c>
      <c r="AN19" s="133">
        <v>2512</v>
      </c>
      <c r="AO19" s="133">
        <v>2139</v>
      </c>
      <c r="AP19" s="230">
        <v>8852</v>
      </c>
      <c r="AQ19" s="133">
        <v>1921</v>
      </c>
      <c r="AR19" s="133">
        <v>2249</v>
      </c>
      <c r="AS19" s="133">
        <v>2481</v>
      </c>
      <c r="AT19" s="133">
        <v>2323</v>
      </c>
      <c r="AU19" s="230">
        <v>8974</v>
      </c>
      <c r="AV19" s="133">
        <v>2175</v>
      </c>
      <c r="AW19" s="133">
        <v>2336</v>
      </c>
      <c r="AX19" s="133">
        <v>2543</v>
      </c>
      <c r="AY19" s="133">
        <v>2298</v>
      </c>
      <c r="AZ19" s="230">
        <v>9352</v>
      </c>
      <c r="BA19" s="133">
        <v>2166</v>
      </c>
      <c r="BB19" s="133">
        <v>2454</v>
      </c>
      <c r="BC19" s="133">
        <v>2804</v>
      </c>
      <c r="BD19" s="133">
        <v>2781</v>
      </c>
      <c r="BE19" s="230">
        <v>10205</v>
      </c>
      <c r="BF19" s="133">
        <v>2602</v>
      </c>
      <c r="BG19" s="133">
        <v>2891</v>
      </c>
      <c r="BH19" s="133">
        <v>3032</v>
      </c>
      <c r="BI19" s="133">
        <v>2783</v>
      </c>
      <c r="BJ19" s="230">
        <v>11308</v>
      </c>
      <c r="BK19" s="577"/>
      <c r="BL19" s="467"/>
    </row>
    <row r="20" spans="2:64">
      <c r="B20" s="1006" t="str">
        <f>names!A497</f>
        <v>*) Dane przekształcone – zmiana metody konsolidacji spółek Basell ORLEN Polyolefines Sp. z o.o. i Płocki Park Przemysłowo-Technologiczny S.A. zgodnie z MSSF 11.</v>
      </c>
      <c r="C20" s="1006" t="str">
        <f>names!B497</f>
        <v>*) Dane przekształcone – zmiana metody konsolidacji spółek Basell ORLEN Polyolefines Sp. z o.o. i Płocki Park Przemysłowo-Technologiczny S.A. zgodnie z MSSF 11.</v>
      </c>
      <c r="D20" s="1006" t="str">
        <f>names!C497</f>
        <v xml:space="preserve">*) Restated data – change in consolidation method for Basell ORLEN Polyolefines Sp. z o.o. and Płocki Park Przemysłowo-Technologiczny S.A. in accordance with IFRS 11. </v>
      </c>
      <c r="E20" s="1006">
        <f>names!E497</f>
        <v>0</v>
      </c>
      <c r="F20" s="1006">
        <f>names!F497</f>
        <v>0</v>
      </c>
      <c r="G20" s="1006">
        <f>names!G497</f>
        <v>0</v>
      </c>
      <c r="H20" s="1006">
        <f>names!H497</f>
        <v>0</v>
      </c>
      <c r="I20" s="1006">
        <f>names!I497</f>
        <v>0</v>
      </c>
      <c r="J20" s="1006">
        <f>names!J497</f>
        <v>0</v>
      </c>
      <c r="K20" s="1006">
        <f>names!K497</f>
        <v>0</v>
      </c>
      <c r="L20" s="1006">
        <f>names!L497</f>
        <v>0</v>
      </c>
      <c r="M20" s="1006">
        <f>names!M497</f>
        <v>0</v>
      </c>
      <c r="N20" s="1006">
        <f>names!N497</f>
        <v>0</v>
      </c>
      <c r="O20" s="1006">
        <f>names!O497</f>
        <v>0</v>
      </c>
      <c r="P20" s="1006">
        <f>names!P497</f>
        <v>0</v>
      </c>
      <c r="Q20" s="1006">
        <f>names!Q497</f>
        <v>0</v>
      </c>
      <c r="R20" s="1006">
        <f>names!R497</f>
        <v>0</v>
      </c>
      <c r="S20" s="1006">
        <f>names!S497</f>
        <v>0</v>
      </c>
      <c r="T20" s="1006">
        <f>names!T497</f>
        <v>0</v>
      </c>
      <c r="U20" s="1006">
        <f>names!U497</f>
        <v>0</v>
      </c>
      <c r="V20" s="1006">
        <f>names!V497</f>
        <v>0</v>
      </c>
      <c r="W20" s="1006">
        <f>names!W497</f>
        <v>0</v>
      </c>
      <c r="X20" s="1006">
        <f>names!X497</f>
        <v>0</v>
      </c>
      <c r="Y20" s="1006">
        <f>names!Y497</f>
        <v>0</v>
      </c>
      <c r="Z20" s="1006">
        <f>names!Z497</f>
        <v>0</v>
      </c>
      <c r="AA20" s="1006">
        <f>names!AA497</f>
        <v>0</v>
      </c>
      <c r="AB20" s="1006">
        <f>names!AB497</f>
        <v>0</v>
      </c>
      <c r="AC20" s="1006">
        <f>names!AC497</f>
        <v>0</v>
      </c>
      <c r="AD20" s="1006">
        <f>names!AD497</f>
        <v>0</v>
      </c>
      <c r="AE20" s="1006">
        <f>names!AE497</f>
        <v>0</v>
      </c>
      <c r="AF20" s="1006">
        <f>names!AF497</f>
        <v>0</v>
      </c>
      <c r="AG20" s="1006">
        <f>names!AG497</f>
        <v>0</v>
      </c>
      <c r="AH20" s="1006">
        <f>names!AH497</f>
        <v>0</v>
      </c>
      <c r="AI20" s="1006">
        <f>names!AI497</f>
        <v>0</v>
      </c>
      <c r="AJ20" s="1006">
        <f>names!AJ497</f>
        <v>0</v>
      </c>
      <c r="AK20" s="1006">
        <f>names!AK497</f>
        <v>0</v>
      </c>
      <c r="AL20" s="1006">
        <f>names!AL497</f>
        <v>0</v>
      </c>
      <c r="AM20" s="1006">
        <f>names!AM497</f>
        <v>0</v>
      </c>
      <c r="AN20" s="1006">
        <f>names!AN497</f>
        <v>0</v>
      </c>
      <c r="AO20" s="1006">
        <f>names!AO497</f>
        <v>0</v>
      </c>
      <c r="AP20" s="1006">
        <f>names!AP497</f>
        <v>0</v>
      </c>
      <c r="AQ20" s="1006">
        <f>names!AQ497</f>
        <v>0</v>
      </c>
      <c r="AR20" s="1006">
        <f>names!AR497</f>
        <v>0</v>
      </c>
      <c r="AS20" s="1006">
        <f>names!AS497</f>
        <v>0</v>
      </c>
      <c r="AT20" s="1006">
        <f>names!AT497</f>
        <v>0</v>
      </c>
      <c r="AU20" s="1006">
        <f>names!AU497</f>
        <v>0</v>
      </c>
      <c r="AV20" s="1006">
        <f>names!AV497</f>
        <v>0</v>
      </c>
      <c r="AW20" s="1006">
        <f>names!AW497</f>
        <v>0</v>
      </c>
      <c r="AX20" s="1006">
        <f>names!AX497</f>
        <v>0</v>
      </c>
      <c r="AY20" s="1006">
        <f>names!AY497</f>
        <v>0</v>
      </c>
      <c r="AZ20" s="1006">
        <f>names!AZ497</f>
        <v>0</v>
      </c>
      <c r="BA20" s="13"/>
      <c r="BB20" s="13"/>
      <c r="BC20" s="13"/>
      <c r="BD20" s="13"/>
      <c r="BE20" s="13"/>
      <c r="BF20" s="13"/>
      <c r="BG20" s="13"/>
      <c r="BH20" s="13"/>
      <c r="BI20" s="13"/>
      <c r="BJ20" s="13"/>
      <c r="BK20" s="577"/>
    </row>
    <row r="21" spans="2:64">
      <c r="B21" s="1007" t="str">
        <f>names!A498</f>
        <v>**) Zgodnie z MSSF 16 Leasing w pozycji zwiększenie aktywów trwałych ujęto wartość praw do użytkowania - w celu zachowania spójności zaktualizowano również dane za I kwartał 2019.</v>
      </c>
      <c r="C21" s="1007" t="str">
        <f>names!B498</f>
        <v>**) Zgodnie z MSSF 16 Leasing w pozycji zwiększenie aktywów trwałych ujęto wartość praw do użytkowania - w celu zachowania spójności zaktualizowano również dane za I kwartał 2019.</v>
      </c>
      <c r="D21" s="1007" t="str">
        <f>names!C498</f>
        <v>**) In accordance with IFRS 16 Leases, the "increase in non-current assets" item includes rights-of-use - in the interests of consistency, the data for the I quarter of 2019 were also updated.</v>
      </c>
      <c r="E21" s="1007">
        <f>names!E498</f>
        <v>0</v>
      </c>
      <c r="F21" s="1007">
        <f>names!F498</f>
        <v>0</v>
      </c>
      <c r="G21" s="1007">
        <f>names!G498</f>
        <v>0</v>
      </c>
      <c r="H21" s="1007">
        <f>names!H498</f>
        <v>0</v>
      </c>
      <c r="I21" s="1007">
        <f>names!I498</f>
        <v>0</v>
      </c>
      <c r="J21" s="1007">
        <f>names!J498</f>
        <v>0</v>
      </c>
      <c r="K21" s="1007">
        <f>names!K498</f>
        <v>0</v>
      </c>
      <c r="L21" s="1007">
        <f>names!L498</f>
        <v>0</v>
      </c>
      <c r="M21" s="1007">
        <f>names!M498</f>
        <v>0</v>
      </c>
      <c r="N21" s="1007">
        <f>names!N498</f>
        <v>0</v>
      </c>
      <c r="O21" s="1007">
        <f>names!O498</f>
        <v>0</v>
      </c>
      <c r="P21" s="1007">
        <f>names!P498</f>
        <v>0</v>
      </c>
      <c r="Q21" s="1007">
        <f>names!Q498</f>
        <v>0</v>
      </c>
      <c r="R21" s="1007">
        <f>names!R498</f>
        <v>0</v>
      </c>
      <c r="S21" s="1007">
        <f>names!S498</f>
        <v>0</v>
      </c>
      <c r="T21" s="1007">
        <f>names!T498</f>
        <v>0</v>
      </c>
      <c r="U21" s="1007">
        <f>names!U498</f>
        <v>0</v>
      </c>
      <c r="V21" s="1007">
        <f>names!V498</f>
        <v>0</v>
      </c>
      <c r="W21" s="1007">
        <f>names!W498</f>
        <v>0</v>
      </c>
      <c r="X21" s="1007">
        <f>names!X498</f>
        <v>0</v>
      </c>
      <c r="Y21" s="1007">
        <f>names!Y498</f>
        <v>0</v>
      </c>
      <c r="Z21" s="1007">
        <f>names!Z498</f>
        <v>0</v>
      </c>
      <c r="AA21" s="1007">
        <f>names!AA498</f>
        <v>0</v>
      </c>
      <c r="AB21" s="1007">
        <f>names!AB498</f>
        <v>0</v>
      </c>
      <c r="AC21" s="1007">
        <f>names!AC498</f>
        <v>0</v>
      </c>
      <c r="AD21" s="1007">
        <f>names!AD498</f>
        <v>0</v>
      </c>
      <c r="AE21" s="1007">
        <f>names!AE498</f>
        <v>0</v>
      </c>
      <c r="AF21" s="1007">
        <f>names!AF498</f>
        <v>0</v>
      </c>
      <c r="AG21" s="1007">
        <f>names!AG498</f>
        <v>0</v>
      </c>
      <c r="AH21" s="1007">
        <f>names!AH498</f>
        <v>0</v>
      </c>
      <c r="AI21" s="1007">
        <f>names!AI498</f>
        <v>0</v>
      </c>
      <c r="AJ21" s="1007">
        <f>names!AJ498</f>
        <v>0</v>
      </c>
      <c r="AK21" s="1007">
        <f>names!AK498</f>
        <v>0</v>
      </c>
      <c r="AL21" s="1007">
        <f>names!AL498</f>
        <v>0</v>
      </c>
      <c r="AM21" s="1007">
        <f>names!AM498</f>
        <v>0</v>
      </c>
      <c r="AN21" s="1007">
        <f>names!AN498</f>
        <v>0</v>
      </c>
      <c r="AO21" s="1007">
        <f>names!AO498</f>
        <v>0</v>
      </c>
      <c r="AP21" s="1007">
        <f>names!AP498</f>
        <v>0</v>
      </c>
      <c r="AQ21" s="1007">
        <f>names!AQ498</f>
        <v>0</v>
      </c>
      <c r="AR21" s="1007">
        <f>names!AR498</f>
        <v>0</v>
      </c>
      <c r="AS21" s="1007">
        <f>names!AS498</f>
        <v>0</v>
      </c>
      <c r="AT21" s="1007">
        <f>names!AT498</f>
        <v>0</v>
      </c>
      <c r="AU21" s="1007">
        <f>names!AU498</f>
        <v>0</v>
      </c>
      <c r="AV21" s="1007">
        <f>names!AV498</f>
        <v>0</v>
      </c>
      <c r="AW21" s="1007">
        <f>names!AW498</f>
        <v>0</v>
      </c>
      <c r="AX21" s="1007">
        <f>names!AX498</f>
        <v>0</v>
      </c>
      <c r="AY21" s="1007">
        <f>names!AY498</f>
        <v>0</v>
      </c>
      <c r="AZ21" s="1007">
        <f>names!AZ498</f>
        <v>0</v>
      </c>
      <c r="BA21" s="7"/>
      <c r="BB21" s="7"/>
      <c r="BC21" s="7"/>
      <c r="BD21" s="7"/>
      <c r="BE21" s="7"/>
      <c r="BF21" s="7"/>
      <c r="BG21" s="7"/>
      <c r="BH21" s="7"/>
      <c r="BI21" s="7"/>
      <c r="BJ21" s="7"/>
      <c r="BK21" s="577"/>
    </row>
    <row r="22" spans="2:64">
      <c r="B22" s="14"/>
      <c r="AI22" s="370"/>
      <c r="AJ22" s="370"/>
      <c r="AK22" s="370"/>
      <c r="AN22" s="370"/>
      <c r="AO22" s="370"/>
      <c r="AP22" s="370"/>
      <c r="AS22" s="370"/>
      <c r="AT22" s="370"/>
      <c r="AU22" s="370"/>
      <c r="AX22" s="370"/>
      <c r="AY22" s="370"/>
      <c r="AZ22" s="370"/>
      <c r="BC22" s="370"/>
      <c r="BD22" s="370"/>
      <c r="BE22" s="370"/>
      <c r="BH22" s="370"/>
      <c r="BI22" s="370"/>
      <c r="BJ22" s="370"/>
    </row>
    <row r="23" spans="2:64">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c r="AX23" s="577"/>
      <c r="AY23" s="577"/>
      <c r="AZ23" s="577"/>
      <c r="BA23" s="577"/>
      <c r="BB23" s="577"/>
      <c r="BC23" s="577"/>
      <c r="BD23" s="577"/>
      <c r="BE23" s="577"/>
      <c r="BF23" s="577"/>
      <c r="BG23" s="577"/>
      <c r="BH23" s="577"/>
      <c r="BI23" s="577"/>
      <c r="BJ23" s="577"/>
    </row>
    <row r="24" spans="2:64">
      <c r="B24" s="768"/>
    </row>
    <row r="25" spans="2:64">
      <c r="B25" s="14"/>
    </row>
  </sheetData>
  <mergeCells count="2">
    <mergeCell ref="B20:AZ20"/>
    <mergeCell ref="B21:AZ21"/>
  </mergeCells>
  <conditionalFormatting sqref="B23:BJ23">
    <cfRule type="cellIs" dxfId="49" priority="2" operator="equal">
      <formula>FALSE</formula>
    </cfRule>
  </conditionalFormatting>
  <conditionalFormatting sqref="BK2:BK21">
    <cfRule type="cellIs" dxfId="48"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1"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34998626667073579"/>
    <pageSetUpPr fitToPage="1"/>
  </sheetPr>
  <dimension ref="B2:BL30"/>
  <sheetViews>
    <sheetView showGridLines="0" view="pageBreakPreview" zoomScaleNormal="100" zoomScaleSheetLayoutView="100" workbookViewId="0">
      <pane xSplit="2" ySplit="4" topLeftCell="C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61" style="16" customWidth="1"/>
    <col min="3" max="6" width="7.5703125" hidden="1" customWidth="1" outlineLevel="1"/>
    <col min="7" max="7" width="7.5703125" customWidth="1" collapsed="1"/>
    <col min="8" max="11" width="7.5703125" hidden="1" customWidth="1" outlineLevel="1"/>
    <col min="12" max="12" width="7.5703125" customWidth="1" collapsed="1"/>
    <col min="13" max="16" width="7.5703125" hidden="1" customWidth="1" outlineLevel="1"/>
    <col min="17" max="17" width="7.5703125" customWidth="1" collapsed="1"/>
    <col min="18" max="21" width="7.5703125" hidden="1" customWidth="1" outlineLevel="1"/>
    <col min="22" max="22" width="7.5703125" customWidth="1" collapsed="1"/>
    <col min="23" max="26" width="7.5703125" hidden="1" customWidth="1" outlineLevel="1"/>
    <col min="27" max="27" width="7.5703125" customWidth="1" collapsed="1"/>
    <col min="28" max="28" width="7.5703125" hidden="1" customWidth="1" outlineLevel="1" collapsed="1"/>
    <col min="29" max="31" width="7.5703125" hidden="1" customWidth="1" outlineLevel="1"/>
    <col min="32" max="32" width="7.5703125" customWidth="1" collapsed="1"/>
    <col min="33" max="36" width="7.5703125" hidden="1" customWidth="1" outlineLevel="1"/>
    <col min="37" max="37" width="7.5703125" customWidth="1" collapsed="1"/>
    <col min="38" max="41" width="7.5703125" hidden="1" customWidth="1" outlineLevel="1"/>
    <col min="42" max="42" width="7.5703125" customWidth="1" collapsed="1"/>
    <col min="43" max="46" width="7.5703125" hidden="1" customWidth="1" outlineLevel="1"/>
    <col min="47" max="47" width="7.5703125" customWidth="1" collapsed="1"/>
    <col min="48" max="51" width="7.5703125" hidden="1" customWidth="1" outlineLevel="1"/>
    <col min="52" max="52" width="7.5703125" customWidth="1" collapsed="1"/>
    <col min="53" max="56" width="7.5703125" hidden="1" customWidth="1" outlineLevel="1"/>
    <col min="57" max="57" width="7.5703125" customWidth="1" collapsed="1"/>
    <col min="58" max="61" width="7.5703125" hidden="1" customWidth="1" outlineLevel="1"/>
    <col min="62" max="62" width="7.5703125" customWidth="1" collapsed="1"/>
  </cols>
  <sheetData>
    <row r="2" spans="2:64" ht="15.75">
      <c r="B2" s="397" t="str">
        <f>names!A538</f>
        <v>Segment Wydobycie</v>
      </c>
      <c r="BK2" s="577"/>
    </row>
    <row r="3" spans="2:64" ht="10.15" customHeight="1">
      <c r="BK3" s="577"/>
    </row>
    <row r="4" spans="2:64" s="24" customFormat="1" ht="33.75" customHeight="1">
      <c r="B4" s="15" t="str">
        <f>names!A455</f>
        <v>Wyszczególnienie, 
mln PLN</v>
      </c>
      <c r="C4" s="15" t="str">
        <f>names!$A499</f>
        <v>I kw.
2013 *</v>
      </c>
      <c r="D4" s="15" t="str">
        <f>names!$A500</f>
        <v>II kw.
2013 *</v>
      </c>
      <c r="E4" s="15" t="str">
        <f>names!$A501</f>
        <v>III kw.
2013 *</v>
      </c>
      <c r="F4" s="15" t="str">
        <f>names!$A502</f>
        <v>IV kw.
2013 *</v>
      </c>
      <c r="G4" s="15" t="str">
        <f>names!$A503</f>
        <v>12 m-cy
2013 *</v>
      </c>
      <c r="H4" s="15" t="str">
        <f>names!$A504</f>
        <v>I kw.
2014</v>
      </c>
      <c r="I4" s="15" t="str">
        <f>names!$A505</f>
        <v>II kw.
2014</v>
      </c>
      <c r="J4" s="15" t="str">
        <f>names!$A506</f>
        <v>III kw.
2014</v>
      </c>
      <c r="K4" s="15" t="str">
        <f>names!$A507</f>
        <v>IV kw.
2014</v>
      </c>
      <c r="L4" s="15" t="str">
        <f>names!$A508</f>
        <v>12 m-cy
2014</v>
      </c>
      <c r="M4" s="15" t="str">
        <f>names!$A509</f>
        <v>I kw.
2015</v>
      </c>
      <c r="N4" s="15" t="str">
        <f>names!$A510</f>
        <v>II kw.
2015</v>
      </c>
      <c r="O4" s="15" t="str">
        <f>names!$A511</f>
        <v>III kw.
2015</v>
      </c>
      <c r="P4" s="15" t="str">
        <f>names!$A512</f>
        <v>IV kw.
2015</v>
      </c>
      <c r="Q4" s="15" t="str">
        <f>names!$A513</f>
        <v>12 m-cy
2015</v>
      </c>
      <c r="R4" s="15" t="str">
        <f>names!$A514</f>
        <v>I kw.
2016</v>
      </c>
      <c r="S4" s="15" t="str">
        <f>names!$A515</f>
        <v>II kw.
2016</v>
      </c>
      <c r="T4" s="15" t="str">
        <f>names!$A516</f>
        <v>III kw.
2016</v>
      </c>
      <c r="U4" s="15" t="str">
        <f>names!$A517</f>
        <v>IV kw.
2016</v>
      </c>
      <c r="V4" s="15" t="str">
        <f>names!$A518</f>
        <v>12 m-cy
2016</v>
      </c>
      <c r="W4" s="15" t="str">
        <f>names!$A519</f>
        <v>I kw.
2017</v>
      </c>
      <c r="X4" s="15" t="str">
        <f>names!$A520</f>
        <v>II kw.
2017</v>
      </c>
      <c r="Y4" s="15" t="str">
        <f>names!$A521</f>
        <v>III kw.
2017</v>
      </c>
      <c r="Z4" s="15" t="str">
        <f>names!$A522</f>
        <v>IV kw.
2017</v>
      </c>
      <c r="AA4" s="15" t="str">
        <f>names!$A523</f>
        <v>12 m-cy
2017</v>
      </c>
      <c r="AB4" s="15" t="str">
        <f>names!$A524</f>
        <v>I kw.
2018</v>
      </c>
      <c r="AC4" s="15" t="str">
        <f>names!$A525</f>
        <v>II kw.
2018</v>
      </c>
      <c r="AD4" s="15" t="str">
        <f>names!$A526</f>
        <v>III kw.
2018</v>
      </c>
      <c r="AE4" s="15" t="str">
        <f>names!$A527</f>
        <v>IV kw.
2018 ***</v>
      </c>
      <c r="AF4" s="15" t="str">
        <f>names!$A553</f>
        <v>12 m-cy
2018</v>
      </c>
      <c r="AG4" s="15" t="str">
        <f>names!$A531</f>
        <v>I kw.
2019</v>
      </c>
      <c r="AH4" s="15" t="str">
        <f>names!$A532</f>
        <v>II kw.
2019</v>
      </c>
      <c r="AI4" s="15" t="str">
        <f>names!$A533</f>
        <v>III kw.
2019</v>
      </c>
      <c r="AJ4" s="15" t="str">
        <f>names!$A534</f>
        <v>IV kw.
2019</v>
      </c>
      <c r="AK4" s="15" t="str">
        <f>names!$A535</f>
        <v>12 m-cy
2019</v>
      </c>
      <c r="AL4" s="15" t="str">
        <f>names!A149</f>
        <v>I kw. 
2020</v>
      </c>
      <c r="AM4" s="15" t="str">
        <f>names!$A404</f>
        <v>II kw.
2020</v>
      </c>
      <c r="AN4" s="15" t="str">
        <f>names!$A406</f>
        <v>III kw.
2020</v>
      </c>
      <c r="AO4" s="15" t="str">
        <f>names!$A408</f>
        <v>IV kw.
2020</v>
      </c>
      <c r="AP4" s="15" t="str">
        <f>names!$A153</f>
        <v>12 m-cy 2020</v>
      </c>
      <c r="AQ4" s="15" t="str">
        <f>names!$A154</f>
        <v>I kw. 
2021</v>
      </c>
      <c r="AR4" s="15" t="str">
        <f>names!$A155</f>
        <v>II kw. 
2021</v>
      </c>
      <c r="AS4" s="15" t="str">
        <f>names!$A156</f>
        <v>III kw. 
2021</v>
      </c>
      <c r="AT4" s="15" t="str">
        <f>names!$A157</f>
        <v>IV kw. 
2021</v>
      </c>
      <c r="AU4" s="15" t="str">
        <f>names!A158</f>
        <v>12 m-cy 2021</v>
      </c>
      <c r="AV4" s="15" t="str">
        <f>names!$A159</f>
        <v>I kw. 
2022</v>
      </c>
      <c r="AW4" s="15" t="str">
        <f>names!$A160</f>
        <v>II kw. 
2022</v>
      </c>
      <c r="AX4" s="15" t="str">
        <f>names!$A161</f>
        <v>III kw. 
2022</v>
      </c>
      <c r="AY4" s="15" t="str">
        <f>names!$A162</f>
        <v>IV kw. 
2022</v>
      </c>
      <c r="AZ4" s="15" t="str">
        <f>names!$A163</f>
        <v>12 m-cy 2022</v>
      </c>
      <c r="BA4" s="15" t="str">
        <f>names!$A164</f>
        <v>I kw. 
2023</v>
      </c>
      <c r="BB4" s="15" t="str">
        <f>names!$A165</f>
        <v>II kw. 
2023</v>
      </c>
      <c r="BC4" s="15" t="str">
        <f>names!$A166</f>
        <v>III kw. 
2023</v>
      </c>
      <c r="BD4" s="15" t="str">
        <f>names!$A167</f>
        <v>IV kw. 
2023</v>
      </c>
      <c r="BE4" s="15" t="str">
        <f>names!$A168</f>
        <v>12 m-cy 2023</v>
      </c>
      <c r="BF4" s="15" t="str">
        <f>names!$A169</f>
        <v>I kw. 
2024</v>
      </c>
      <c r="BG4" s="15" t="str">
        <f>names!$A170</f>
        <v>II kw. 
2024</v>
      </c>
      <c r="BH4" s="15" t="str">
        <f>names!$A171</f>
        <v>III kw. 
2024</v>
      </c>
      <c r="BI4" s="15" t="str">
        <f>names!$A172</f>
        <v>IV kw. 
2024</v>
      </c>
      <c r="BJ4" s="15" t="str">
        <f>names!$A173</f>
        <v>12 m-cy 2024</v>
      </c>
      <c r="BK4" s="577"/>
    </row>
    <row r="5" spans="2:64" s="30" customFormat="1" ht="7.15" customHeight="1">
      <c r="B5" s="92"/>
      <c r="C5" s="92"/>
      <c r="D5" s="92"/>
      <c r="E5" s="92"/>
      <c r="F5" s="92"/>
      <c r="G5" s="92"/>
      <c r="H5" s="92"/>
      <c r="I5" s="92"/>
      <c r="J5" s="92"/>
      <c r="K5" s="92"/>
      <c r="L5" s="92"/>
      <c r="M5" s="92"/>
      <c r="N5" s="92"/>
      <c r="O5" s="201"/>
      <c r="P5" s="201"/>
      <c r="Q5" s="201"/>
      <c r="R5" s="92"/>
      <c r="S5" s="92"/>
      <c r="T5" s="201"/>
      <c r="U5" s="201"/>
      <c r="V5" s="201"/>
      <c r="W5" s="92"/>
      <c r="X5" s="92"/>
      <c r="Y5" s="201"/>
      <c r="Z5" s="201"/>
      <c r="AA5" s="201"/>
      <c r="AB5" s="92"/>
      <c r="AC5" s="92"/>
      <c r="AD5" s="201"/>
      <c r="AE5" s="201"/>
      <c r="AF5" s="201"/>
      <c r="AG5" s="92"/>
      <c r="AH5" s="92"/>
      <c r="AI5" s="201"/>
      <c r="AJ5" s="201"/>
      <c r="AK5" s="201"/>
      <c r="AL5" s="92"/>
      <c r="AM5" s="92"/>
      <c r="AN5" s="201"/>
      <c r="AO5" s="201"/>
      <c r="AP5" s="201"/>
      <c r="AQ5" s="92"/>
      <c r="AR5" s="92"/>
      <c r="AS5" s="201"/>
      <c r="AT5" s="201"/>
      <c r="AU5" s="201"/>
      <c r="AV5" s="92"/>
      <c r="AW5" s="92"/>
      <c r="AX5" s="201"/>
      <c r="AY5" s="201"/>
      <c r="AZ5" s="201"/>
      <c r="BA5" s="92"/>
      <c r="BB5" s="92"/>
      <c r="BC5" s="201"/>
      <c r="BD5" s="201"/>
      <c r="BE5" s="201"/>
      <c r="BF5" s="92"/>
      <c r="BG5" s="92"/>
      <c r="BH5" s="201"/>
      <c r="BI5" s="201"/>
      <c r="BJ5" s="201"/>
      <c r="BK5" s="577"/>
    </row>
    <row r="6" spans="2:64" s="56" customFormat="1" ht="11.25">
      <c r="B6" s="59" t="str">
        <f>names!A457</f>
        <v>Przychody ze sprzedaży</v>
      </c>
      <c r="C6" s="152">
        <v>0</v>
      </c>
      <c r="D6" s="152">
        <v>1</v>
      </c>
      <c r="E6" s="152">
        <v>0</v>
      </c>
      <c r="F6" s="152">
        <v>16</v>
      </c>
      <c r="G6" s="242">
        <v>17</v>
      </c>
      <c r="H6" s="152">
        <v>55</v>
      </c>
      <c r="I6" s="152">
        <v>68</v>
      </c>
      <c r="J6" s="152">
        <v>91</v>
      </c>
      <c r="K6" s="152">
        <v>84</v>
      </c>
      <c r="L6" s="242">
        <v>298</v>
      </c>
      <c r="M6" s="152">
        <v>52</v>
      </c>
      <c r="N6" s="152">
        <v>61</v>
      </c>
      <c r="O6" s="152">
        <v>49</v>
      </c>
      <c r="P6" s="152">
        <v>53</v>
      </c>
      <c r="Q6" s="242">
        <v>215</v>
      </c>
      <c r="R6" s="152">
        <v>92</v>
      </c>
      <c r="S6" s="152">
        <v>97</v>
      </c>
      <c r="T6" s="152">
        <v>115</v>
      </c>
      <c r="U6" s="152">
        <v>138</v>
      </c>
      <c r="V6" s="242">
        <v>442</v>
      </c>
      <c r="W6" s="152">
        <v>134</v>
      </c>
      <c r="X6" s="152">
        <v>133</v>
      </c>
      <c r="Y6" s="152">
        <v>115</v>
      </c>
      <c r="Z6" s="152">
        <v>133</v>
      </c>
      <c r="AA6" s="242">
        <v>515</v>
      </c>
      <c r="AB6" s="152">
        <v>145</v>
      </c>
      <c r="AC6" s="152">
        <v>165</v>
      </c>
      <c r="AD6" s="152">
        <v>154</v>
      </c>
      <c r="AE6" s="152">
        <v>141</v>
      </c>
      <c r="AF6" s="242">
        <v>605</v>
      </c>
      <c r="AG6" s="152">
        <v>163</v>
      </c>
      <c r="AH6" s="152">
        <v>141</v>
      </c>
      <c r="AI6" s="152">
        <v>134</v>
      </c>
      <c r="AJ6" s="152">
        <v>170</v>
      </c>
      <c r="AK6" s="242">
        <v>608</v>
      </c>
      <c r="AL6" s="152">
        <v>145</v>
      </c>
      <c r="AM6" s="152">
        <v>94</v>
      </c>
      <c r="AN6" s="152">
        <v>117</v>
      </c>
      <c r="AO6" s="152">
        <v>127</v>
      </c>
      <c r="AP6" s="242">
        <v>483</v>
      </c>
      <c r="AQ6" s="152">
        <v>151</v>
      </c>
      <c r="AR6" s="152">
        <v>184</v>
      </c>
      <c r="AS6" s="152">
        <v>210</v>
      </c>
      <c r="AT6" s="152">
        <v>253</v>
      </c>
      <c r="AU6" s="242">
        <v>798</v>
      </c>
      <c r="AV6" s="152">
        <v>290</v>
      </c>
      <c r="AW6" s="152">
        <v>416</v>
      </c>
      <c r="AX6" s="152">
        <v>859</v>
      </c>
      <c r="AY6" s="152">
        <v>6823</v>
      </c>
      <c r="AZ6" s="242">
        <v>8388</v>
      </c>
      <c r="BA6" s="152">
        <v>7004</v>
      </c>
      <c r="BB6" s="152">
        <v>4394</v>
      </c>
      <c r="BC6" s="152">
        <v>3670</v>
      </c>
      <c r="BD6" s="152">
        <v>4895</v>
      </c>
      <c r="BE6" s="242">
        <v>19963</v>
      </c>
      <c r="BF6" s="152">
        <v>5034</v>
      </c>
      <c r="BG6" s="152">
        <v>4707</v>
      </c>
      <c r="BH6" s="152">
        <v>4538</v>
      </c>
      <c r="BI6" s="152">
        <v>6312</v>
      </c>
      <c r="BJ6" s="242">
        <v>20591</v>
      </c>
      <c r="BK6" s="577"/>
      <c r="BL6" s="467"/>
    </row>
    <row r="7" spans="2:64" s="1" customFormat="1" ht="11.25">
      <c r="B7" s="95" t="str">
        <f>names!A458</f>
        <v>Sprzedaż zewnętrzna</v>
      </c>
      <c r="C7" s="147">
        <v>0</v>
      </c>
      <c r="D7" s="147">
        <v>1</v>
      </c>
      <c r="E7" s="147">
        <v>0</v>
      </c>
      <c r="F7" s="147">
        <v>16</v>
      </c>
      <c r="G7" s="236">
        <v>17</v>
      </c>
      <c r="H7" s="147">
        <v>55</v>
      </c>
      <c r="I7" s="147">
        <v>68</v>
      </c>
      <c r="J7" s="147">
        <v>91</v>
      </c>
      <c r="K7" s="147">
        <v>84</v>
      </c>
      <c r="L7" s="236">
        <v>298</v>
      </c>
      <c r="M7" s="147">
        <v>52</v>
      </c>
      <c r="N7" s="147">
        <v>61</v>
      </c>
      <c r="O7" s="147">
        <v>49</v>
      </c>
      <c r="P7" s="147">
        <v>53</v>
      </c>
      <c r="Q7" s="236">
        <v>215</v>
      </c>
      <c r="R7" s="147">
        <v>92</v>
      </c>
      <c r="S7" s="147">
        <v>97</v>
      </c>
      <c r="T7" s="147">
        <v>115</v>
      </c>
      <c r="U7" s="147">
        <v>138</v>
      </c>
      <c r="V7" s="236">
        <v>442</v>
      </c>
      <c r="W7" s="147">
        <v>134</v>
      </c>
      <c r="X7" s="147">
        <v>133</v>
      </c>
      <c r="Y7" s="147">
        <v>115</v>
      </c>
      <c r="Z7" s="147">
        <v>133</v>
      </c>
      <c r="AA7" s="236">
        <v>515</v>
      </c>
      <c r="AB7" s="147">
        <v>145</v>
      </c>
      <c r="AC7" s="147">
        <v>165</v>
      </c>
      <c r="AD7" s="147">
        <v>154</v>
      </c>
      <c r="AE7" s="147">
        <v>141</v>
      </c>
      <c r="AF7" s="236">
        <v>605</v>
      </c>
      <c r="AG7" s="147">
        <v>163</v>
      </c>
      <c r="AH7" s="147">
        <v>141</v>
      </c>
      <c r="AI7" s="147">
        <v>134</v>
      </c>
      <c r="AJ7" s="147">
        <v>170</v>
      </c>
      <c r="AK7" s="236">
        <v>608</v>
      </c>
      <c r="AL7" s="147">
        <v>145</v>
      </c>
      <c r="AM7" s="147">
        <v>94</v>
      </c>
      <c r="AN7" s="147">
        <v>117</v>
      </c>
      <c r="AO7" s="147">
        <v>127</v>
      </c>
      <c r="AP7" s="236">
        <v>483</v>
      </c>
      <c r="AQ7" s="147">
        <v>151</v>
      </c>
      <c r="AR7" s="147">
        <v>184</v>
      </c>
      <c r="AS7" s="147">
        <v>210</v>
      </c>
      <c r="AT7" s="147">
        <v>253</v>
      </c>
      <c r="AU7" s="236">
        <v>798</v>
      </c>
      <c r="AV7" s="147">
        <v>290</v>
      </c>
      <c r="AW7" s="147">
        <v>416</v>
      </c>
      <c r="AX7" s="147">
        <v>853</v>
      </c>
      <c r="AY7" s="147">
        <v>1078</v>
      </c>
      <c r="AZ7" s="236">
        <v>2637</v>
      </c>
      <c r="BA7" s="147">
        <v>1955</v>
      </c>
      <c r="BB7" s="147">
        <v>1632</v>
      </c>
      <c r="BC7" s="147">
        <v>1301</v>
      </c>
      <c r="BD7" s="147">
        <v>1426</v>
      </c>
      <c r="BE7" s="236">
        <v>6314</v>
      </c>
      <c r="BF7" s="147">
        <v>2432</v>
      </c>
      <c r="BG7" s="147">
        <v>1578</v>
      </c>
      <c r="BH7" s="147">
        <v>1488</v>
      </c>
      <c r="BI7" s="147">
        <v>1698</v>
      </c>
      <c r="BJ7" s="236">
        <v>7196</v>
      </c>
      <c r="BK7" s="577"/>
      <c r="BL7" s="467"/>
    </row>
    <row r="8" spans="2:64" s="1" customFormat="1" ht="11.25">
      <c r="B8" s="25" t="str">
        <f>names!A459</f>
        <v>Sprzedaż między segmentami</v>
      </c>
      <c r="C8" s="131">
        <v>0</v>
      </c>
      <c r="D8" s="131">
        <v>0</v>
      </c>
      <c r="E8" s="131">
        <v>0</v>
      </c>
      <c r="F8" s="131">
        <v>0</v>
      </c>
      <c r="G8" s="229">
        <v>0</v>
      </c>
      <c r="H8" s="131">
        <v>0</v>
      </c>
      <c r="I8" s="131">
        <v>0</v>
      </c>
      <c r="J8" s="131">
        <v>0</v>
      </c>
      <c r="K8" s="131">
        <v>0</v>
      </c>
      <c r="L8" s="229">
        <v>0</v>
      </c>
      <c r="M8" s="131">
        <v>0</v>
      </c>
      <c r="N8" s="131">
        <v>0</v>
      </c>
      <c r="O8" s="131">
        <v>0</v>
      </c>
      <c r="P8" s="131">
        <v>0</v>
      </c>
      <c r="Q8" s="229">
        <v>0</v>
      </c>
      <c r="R8" s="131">
        <v>0</v>
      </c>
      <c r="S8" s="131">
        <v>0</v>
      </c>
      <c r="T8" s="131">
        <v>0</v>
      </c>
      <c r="U8" s="131">
        <v>0</v>
      </c>
      <c r="V8" s="229">
        <v>0</v>
      </c>
      <c r="W8" s="131">
        <v>0</v>
      </c>
      <c r="X8" s="131">
        <v>0</v>
      </c>
      <c r="Y8" s="131">
        <v>0</v>
      </c>
      <c r="Z8" s="131">
        <v>0</v>
      </c>
      <c r="AA8" s="229">
        <v>0</v>
      </c>
      <c r="AB8" s="131">
        <v>0</v>
      </c>
      <c r="AC8" s="131">
        <v>0</v>
      </c>
      <c r="AD8" s="131">
        <v>0</v>
      </c>
      <c r="AE8" s="131">
        <v>0</v>
      </c>
      <c r="AF8" s="229">
        <v>0</v>
      </c>
      <c r="AG8" s="131">
        <v>0</v>
      </c>
      <c r="AH8" s="131">
        <v>0</v>
      </c>
      <c r="AI8" s="131">
        <v>0</v>
      </c>
      <c r="AJ8" s="131">
        <v>0</v>
      </c>
      <c r="AK8" s="229">
        <v>0</v>
      </c>
      <c r="AL8" s="131">
        <v>0</v>
      </c>
      <c r="AM8" s="131">
        <v>0</v>
      </c>
      <c r="AN8" s="131">
        <v>0</v>
      </c>
      <c r="AO8" s="131">
        <v>0</v>
      </c>
      <c r="AP8" s="229">
        <v>0</v>
      </c>
      <c r="AQ8" s="131">
        <v>0</v>
      </c>
      <c r="AR8" s="131">
        <v>0</v>
      </c>
      <c r="AS8" s="131">
        <v>0</v>
      </c>
      <c r="AT8" s="131">
        <v>0</v>
      </c>
      <c r="AU8" s="229">
        <v>0</v>
      </c>
      <c r="AV8" s="131">
        <v>0</v>
      </c>
      <c r="AW8" s="131">
        <v>0</v>
      </c>
      <c r="AX8" s="131">
        <v>6</v>
      </c>
      <c r="AY8" s="131">
        <v>5745</v>
      </c>
      <c r="AZ8" s="229">
        <v>5751</v>
      </c>
      <c r="BA8" s="131">
        <v>5049</v>
      </c>
      <c r="BB8" s="131">
        <v>2762</v>
      </c>
      <c r="BC8" s="131">
        <v>2369</v>
      </c>
      <c r="BD8" s="131">
        <v>3469</v>
      </c>
      <c r="BE8" s="229">
        <v>13649</v>
      </c>
      <c r="BF8" s="131">
        <v>2602</v>
      </c>
      <c r="BG8" s="131">
        <v>3129</v>
      </c>
      <c r="BH8" s="131">
        <v>3050</v>
      </c>
      <c r="BI8" s="131">
        <v>4614</v>
      </c>
      <c r="BJ8" s="229">
        <v>13395</v>
      </c>
      <c r="BK8" s="577"/>
      <c r="BL8" s="467"/>
    </row>
    <row r="9" spans="2:64" s="56" customFormat="1" ht="11.25">
      <c r="B9" s="89" t="str">
        <f>names!A460</f>
        <v>Koszty operacyjne ogółem</v>
      </c>
      <c r="C9" s="145">
        <v>-6</v>
      </c>
      <c r="D9" s="145">
        <v>-5</v>
      </c>
      <c r="E9" s="145">
        <v>-10</v>
      </c>
      <c r="F9" s="145">
        <v>-27</v>
      </c>
      <c r="G9" s="237">
        <v>-48</v>
      </c>
      <c r="H9" s="145">
        <v>-43</v>
      </c>
      <c r="I9" s="145">
        <v>-62</v>
      </c>
      <c r="J9" s="145">
        <v>-77</v>
      </c>
      <c r="K9" s="145">
        <v>-89</v>
      </c>
      <c r="L9" s="237">
        <v>-271</v>
      </c>
      <c r="M9" s="145">
        <v>-72</v>
      </c>
      <c r="N9" s="145">
        <v>-87</v>
      </c>
      <c r="O9" s="145">
        <v>-76</v>
      </c>
      <c r="P9" s="145">
        <v>-112</v>
      </c>
      <c r="Q9" s="237">
        <v>-347</v>
      </c>
      <c r="R9" s="145">
        <v>-136</v>
      </c>
      <c r="S9" s="145">
        <v>-127</v>
      </c>
      <c r="T9" s="145">
        <v>-139</v>
      </c>
      <c r="U9" s="145">
        <v>-135</v>
      </c>
      <c r="V9" s="237">
        <v>-537</v>
      </c>
      <c r="W9" s="145">
        <v>-129</v>
      </c>
      <c r="X9" s="145">
        <v>-129</v>
      </c>
      <c r="Y9" s="145">
        <v>-150</v>
      </c>
      <c r="Z9" s="145">
        <v>-132</v>
      </c>
      <c r="AA9" s="237">
        <v>-540</v>
      </c>
      <c r="AB9" s="145">
        <v>-132</v>
      </c>
      <c r="AC9" s="145">
        <v>-141</v>
      </c>
      <c r="AD9" s="145">
        <v>-145</v>
      </c>
      <c r="AE9" s="145">
        <v>-152</v>
      </c>
      <c r="AF9" s="237">
        <v>-570</v>
      </c>
      <c r="AG9" s="145">
        <v>-140</v>
      </c>
      <c r="AH9" s="145">
        <v>-136</v>
      </c>
      <c r="AI9" s="145">
        <v>-163</v>
      </c>
      <c r="AJ9" s="145">
        <v>-159</v>
      </c>
      <c r="AK9" s="237">
        <v>-598</v>
      </c>
      <c r="AL9" s="145">
        <v>-165</v>
      </c>
      <c r="AM9" s="145">
        <v>-145</v>
      </c>
      <c r="AN9" s="145">
        <v>-134</v>
      </c>
      <c r="AO9" s="145">
        <v>-162</v>
      </c>
      <c r="AP9" s="237">
        <v>-606</v>
      </c>
      <c r="AQ9" s="145">
        <v>-132</v>
      </c>
      <c r="AR9" s="145">
        <v>-145</v>
      </c>
      <c r="AS9" s="145">
        <v>-151</v>
      </c>
      <c r="AT9" s="145">
        <v>-95</v>
      </c>
      <c r="AU9" s="237">
        <v>-523</v>
      </c>
      <c r="AV9" s="145">
        <v>-119</v>
      </c>
      <c r="AW9" s="145">
        <v>-163</v>
      </c>
      <c r="AX9" s="145">
        <v>-312</v>
      </c>
      <c r="AY9" s="145">
        <v>-1384</v>
      </c>
      <c r="AZ9" s="237">
        <v>-1978</v>
      </c>
      <c r="BA9" s="145">
        <v>-6331</v>
      </c>
      <c r="BB9" s="145">
        <v>-5642</v>
      </c>
      <c r="BC9" s="145">
        <v>-5199</v>
      </c>
      <c r="BD9" s="145">
        <v>-6040</v>
      </c>
      <c r="BE9" s="237">
        <v>-23212</v>
      </c>
      <c r="BF9" s="145">
        <v>-10364</v>
      </c>
      <c r="BG9" s="145">
        <v>-10037</v>
      </c>
      <c r="BH9" s="145">
        <v>-2432</v>
      </c>
      <c r="BI9" s="145">
        <v>-2854</v>
      </c>
      <c r="BJ9" s="237">
        <v>-25687</v>
      </c>
      <c r="BK9" s="577"/>
      <c r="BL9" s="467"/>
    </row>
    <row r="10" spans="2:64" s="1" customFormat="1" ht="11.25">
      <c r="B10" s="20" t="str">
        <f>names!A461</f>
        <v>Pozostałe przychody operacyjne</v>
      </c>
      <c r="C10" s="131">
        <v>0</v>
      </c>
      <c r="D10" s="131">
        <v>0</v>
      </c>
      <c r="E10" s="131">
        <v>0</v>
      </c>
      <c r="F10" s="131">
        <v>83</v>
      </c>
      <c r="G10" s="229">
        <v>83</v>
      </c>
      <c r="H10" s="131">
        <v>3</v>
      </c>
      <c r="I10" s="131">
        <v>0</v>
      </c>
      <c r="J10" s="131">
        <v>1</v>
      </c>
      <c r="K10" s="131">
        <v>0</v>
      </c>
      <c r="L10" s="229">
        <v>4</v>
      </c>
      <c r="M10" s="131">
        <v>0</v>
      </c>
      <c r="N10" s="131">
        <v>0</v>
      </c>
      <c r="O10" s="131">
        <v>1</v>
      </c>
      <c r="P10" s="131">
        <v>2</v>
      </c>
      <c r="Q10" s="229">
        <v>3</v>
      </c>
      <c r="R10" s="131">
        <v>0</v>
      </c>
      <c r="S10" s="131">
        <v>0</v>
      </c>
      <c r="T10" s="131">
        <v>2</v>
      </c>
      <c r="U10" s="131">
        <v>58</v>
      </c>
      <c r="V10" s="229">
        <v>60</v>
      </c>
      <c r="W10" s="131">
        <v>0</v>
      </c>
      <c r="X10" s="131">
        <v>1</v>
      </c>
      <c r="Y10" s="131">
        <v>0</v>
      </c>
      <c r="Z10" s="131">
        <v>3</v>
      </c>
      <c r="AA10" s="229">
        <v>4</v>
      </c>
      <c r="AB10" s="131">
        <v>0</v>
      </c>
      <c r="AC10" s="131">
        <v>3</v>
      </c>
      <c r="AD10" s="131">
        <v>0</v>
      </c>
      <c r="AE10" s="131">
        <v>268</v>
      </c>
      <c r="AF10" s="229">
        <v>271</v>
      </c>
      <c r="AG10" s="131">
        <v>0</v>
      </c>
      <c r="AH10" s="131">
        <v>16</v>
      </c>
      <c r="AI10" s="131">
        <v>14</v>
      </c>
      <c r="AJ10" s="131">
        <v>92</v>
      </c>
      <c r="AK10" s="229">
        <v>122</v>
      </c>
      <c r="AL10" s="131">
        <v>179</v>
      </c>
      <c r="AM10" s="131">
        <v>5</v>
      </c>
      <c r="AN10" s="131">
        <v>18</v>
      </c>
      <c r="AO10" s="131">
        <v>214</v>
      </c>
      <c r="AP10" s="229">
        <v>367</v>
      </c>
      <c r="AQ10" s="131">
        <v>0</v>
      </c>
      <c r="AR10" s="131">
        <v>0</v>
      </c>
      <c r="AS10" s="131">
        <v>2</v>
      </c>
      <c r="AT10" s="131">
        <v>1056</v>
      </c>
      <c r="AU10" s="229">
        <v>1058</v>
      </c>
      <c r="AV10" s="131">
        <v>2</v>
      </c>
      <c r="AW10" s="131">
        <v>0</v>
      </c>
      <c r="AX10" s="131">
        <v>39</v>
      </c>
      <c r="AY10" s="131">
        <v>239</v>
      </c>
      <c r="AZ10" s="229">
        <v>264</v>
      </c>
      <c r="BA10" s="131">
        <v>91</v>
      </c>
      <c r="BB10" s="131">
        <v>66</v>
      </c>
      <c r="BC10" s="131">
        <v>63</v>
      </c>
      <c r="BD10" s="131">
        <v>276</v>
      </c>
      <c r="BE10" s="229">
        <v>785</v>
      </c>
      <c r="BF10" s="131">
        <v>37</v>
      </c>
      <c r="BG10" s="131">
        <v>71</v>
      </c>
      <c r="BH10" s="131">
        <v>52</v>
      </c>
      <c r="BI10" s="131">
        <v>221</v>
      </c>
      <c r="BJ10" s="229">
        <v>2475</v>
      </c>
      <c r="BK10" s="577"/>
      <c r="BL10" s="467"/>
    </row>
    <row r="11" spans="2:64" s="1" customFormat="1" ht="11.25">
      <c r="B11" s="51" t="str">
        <f>names!A462</f>
        <v>Pozostałe koszty operacyjne</v>
      </c>
      <c r="C11" s="151">
        <v>0</v>
      </c>
      <c r="D11" s="151">
        <v>0</v>
      </c>
      <c r="E11" s="151">
        <v>0</v>
      </c>
      <c r="F11" s="151">
        <v>-90</v>
      </c>
      <c r="G11" s="239">
        <v>-90</v>
      </c>
      <c r="H11" s="151">
        <v>-1</v>
      </c>
      <c r="I11" s="151">
        <v>-7</v>
      </c>
      <c r="J11" s="151">
        <v>0</v>
      </c>
      <c r="K11" s="151">
        <v>-315</v>
      </c>
      <c r="L11" s="239">
        <v>-323</v>
      </c>
      <c r="M11" s="151">
        <v>0</v>
      </c>
      <c r="N11" s="151">
        <v>-429</v>
      </c>
      <c r="O11" s="151">
        <v>0</v>
      </c>
      <c r="P11" s="151">
        <v>-423</v>
      </c>
      <c r="Q11" s="239">
        <v>-852</v>
      </c>
      <c r="R11" s="151">
        <v>0</v>
      </c>
      <c r="S11" s="151">
        <v>-2</v>
      </c>
      <c r="T11" s="151">
        <v>-3</v>
      </c>
      <c r="U11" s="151">
        <v>-78</v>
      </c>
      <c r="V11" s="239">
        <v>-83</v>
      </c>
      <c r="W11" s="151">
        <v>-1</v>
      </c>
      <c r="X11" s="151">
        <v>0</v>
      </c>
      <c r="Y11" s="151">
        <v>-43</v>
      </c>
      <c r="Z11" s="151">
        <v>-101</v>
      </c>
      <c r="AA11" s="239">
        <v>-145</v>
      </c>
      <c r="AB11" s="151">
        <v>-22</v>
      </c>
      <c r="AC11" s="151">
        <v>-37</v>
      </c>
      <c r="AD11" s="151">
        <v>-3</v>
      </c>
      <c r="AE11" s="151">
        <v>-265</v>
      </c>
      <c r="AF11" s="239">
        <v>-327</v>
      </c>
      <c r="AG11" s="151">
        <v>0</v>
      </c>
      <c r="AH11" s="151">
        <v>-5</v>
      </c>
      <c r="AI11" s="151">
        <v>-62</v>
      </c>
      <c r="AJ11" s="151">
        <v>-220</v>
      </c>
      <c r="AK11" s="239">
        <v>-287</v>
      </c>
      <c r="AL11" s="151">
        <v>-530</v>
      </c>
      <c r="AM11" s="151">
        <v>-154</v>
      </c>
      <c r="AN11" s="151">
        <v>-19</v>
      </c>
      <c r="AO11" s="151">
        <v>-1038</v>
      </c>
      <c r="AP11" s="239">
        <v>-1692</v>
      </c>
      <c r="AQ11" s="151">
        <v>-80</v>
      </c>
      <c r="AR11" s="151">
        <v>-60</v>
      </c>
      <c r="AS11" s="151">
        <v>-11</v>
      </c>
      <c r="AT11" s="151">
        <v>-137</v>
      </c>
      <c r="AU11" s="239">
        <v>-288</v>
      </c>
      <c r="AV11" s="151">
        <v>-81</v>
      </c>
      <c r="AW11" s="151">
        <v>-54</v>
      </c>
      <c r="AX11" s="151">
        <v>-50</v>
      </c>
      <c r="AY11" s="151">
        <v>-428</v>
      </c>
      <c r="AZ11" s="239">
        <v>-597</v>
      </c>
      <c r="BA11" s="151">
        <v>-2321</v>
      </c>
      <c r="BB11" s="151">
        <v>-198</v>
      </c>
      <c r="BC11" s="151">
        <v>-25</v>
      </c>
      <c r="BD11" s="151">
        <v>-3942</v>
      </c>
      <c r="BE11" s="239">
        <v>-6486</v>
      </c>
      <c r="BF11" s="151">
        <v>-96</v>
      </c>
      <c r="BG11" s="151">
        <v>-62</v>
      </c>
      <c r="BH11" s="151">
        <v>-205</v>
      </c>
      <c r="BI11" s="151">
        <v>-907</v>
      </c>
      <c r="BJ11" s="239">
        <v>-2376</v>
      </c>
      <c r="BK11" s="577"/>
      <c r="BL11" s="467"/>
    </row>
    <row r="12" spans="2:64" s="1" customFormat="1" ht="10.5" customHeight="1">
      <c r="B12" s="203" t="str">
        <f>names!A463</f>
        <v>Pozostałe przychody/koszty operacyjne netto</v>
      </c>
      <c r="C12" s="147">
        <v>0</v>
      </c>
      <c r="D12" s="147">
        <v>0</v>
      </c>
      <c r="E12" s="147">
        <v>0</v>
      </c>
      <c r="F12" s="147">
        <v>-7</v>
      </c>
      <c r="G12" s="236">
        <v>-7</v>
      </c>
      <c r="H12" s="147">
        <v>2</v>
      </c>
      <c r="I12" s="147">
        <v>-7</v>
      </c>
      <c r="J12" s="147">
        <v>1</v>
      </c>
      <c r="K12" s="147">
        <v>-315</v>
      </c>
      <c r="L12" s="236">
        <v>-319</v>
      </c>
      <c r="M12" s="147">
        <v>0</v>
      </c>
      <c r="N12" s="147">
        <v>-429</v>
      </c>
      <c r="O12" s="147">
        <v>1</v>
      </c>
      <c r="P12" s="147">
        <v>-421</v>
      </c>
      <c r="Q12" s="236">
        <v>-849</v>
      </c>
      <c r="R12" s="147">
        <v>0</v>
      </c>
      <c r="S12" s="147">
        <v>-2</v>
      </c>
      <c r="T12" s="147">
        <v>-1</v>
      </c>
      <c r="U12" s="147">
        <v>-20</v>
      </c>
      <c r="V12" s="236">
        <v>-23</v>
      </c>
      <c r="W12" s="147">
        <v>-1</v>
      </c>
      <c r="X12" s="147">
        <v>1</v>
      </c>
      <c r="Y12" s="147">
        <v>-43</v>
      </c>
      <c r="Z12" s="147">
        <v>-98</v>
      </c>
      <c r="AA12" s="236">
        <v>-141</v>
      </c>
      <c r="AB12" s="147">
        <v>-22</v>
      </c>
      <c r="AC12" s="147">
        <v>-34</v>
      </c>
      <c r="AD12" s="147">
        <v>-3</v>
      </c>
      <c r="AE12" s="147">
        <v>3</v>
      </c>
      <c r="AF12" s="236">
        <v>-56</v>
      </c>
      <c r="AG12" s="147">
        <v>0</v>
      </c>
      <c r="AH12" s="147">
        <v>11</v>
      </c>
      <c r="AI12" s="147">
        <v>-48</v>
      </c>
      <c r="AJ12" s="147">
        <v>-128</v>
      </c>
      <c r="AK12" s="236">
        <v>-165</v>
      </c>
      <c r="AL12" s="147">
        <v>-351</v>
      </c>
      <c r="AM12" s="147">
        <v>-149</v>
      </c>
      <c r="AN12" s="147">
        <v>-1</v>
      </c>
      <c r="AO12" s="147">
        <v>-824</v>
      </c>
      <c r="AP12" s="236">
        <v>-1325</v>
      </c>
      <c r="AQ12" s="147">
        <v>-80</v>
      </c>
      <c r="AR12" s="147">
        <v>-60</v>
      </c>
      <c r="AS12" s="147">
        <v>-9</v>
      </c>
      <c r="AT12" s="147">
        <v>919</v>
      </c>
      <c r="AU12" s="236">
        <v>770</v>
      </c>
      <c r="AV12" s="147">
        <v>-79</v>
      </c>
      <c r="AW12" s="147">
        <v>-54</v>
      </c>
      <c r="AX12" s="147">
        <v>-11</v>
      </c>
      <c r="AY12" s="147">
        <v>-189</v>
      </c>
      <c r="AZ12" s="236">
        <v>-333</v>
      </c>
      <c r="BA12" s="147">
        <v>-2230</v>
      </c>
      <c r="BB12" s="147">
        <v>-132</v>
      </c>
      <c r="BC12" s="147">
        <v>38</v>
      </c>
      <c r="BD12" s="147">
        <v>-3666</v>
      </c>
      <c r="BE12" s="236">
        <v>-5701</v>
      </c>
      <c r="BF12" s="147">
        <v>-59</v>
      </c>
      <c r="BG12" s="147">
        <v>9</v>
      </c>
      <c r="BH12" s="147">
        <v>-153</v>
      </c>
      <c r="BI12" s="147">
        <v>-686</v>
      </c>
      <c r="BJ12" s="236">
        <v>99</v>
      </c>
      <c r="BK12" s="577"/>
      <c r="BL12" s="467"/>
    </row>
    <row r="13" spans="2:64" s="1" customFormat="1" ht="22.5">
      <c r="B13" s="94" t="str">
        <f>names!A464</f>
        <v>(Strata)/odwrócenie straty z tytułu utraty wartości należności handlowych (w tym odsetek od należności handlowych)</v>
      </c>
      <c r="C13" s="147"/>
      <c r="D13" s="147"/>
      <c r="E13" s="147"/>
      <c r="F13" s="147"/>
      <c r="G13" s="236"/>
      <c r="H13" s="147"/>
      <c r="I13" s="147"/>
      <c r="J13" s="147"/>
      <c r="K13" s="147"/>
      <c r="L13" s="236"/>
      <c r="M13" s="147"/>
      <c r="N13" s="147"/>
      <c r="O13" s="147"/>
      <c r="P13" s="147"/>
      <c r="Q13" s="236"/>
      <c r="R13" s="147"/>
      <c r="S13" s="147"/>
      <c r="T13" s="147"/>
      <c r="U13" s="147"/>
      <c r="V13" s="236"/>
      <c r="W13" s="147"/>
      <c r="X13" s="147"/>
      <c r="Y13" s="147"/>
      <c r="Z13" s="147"/>
      <c r="AA13" s="236"/>
      <c r="AB13" s="147"/>
      <c r="AC13" s="147"/>
      <c r="AD13" s="147"/>
      <c r="AE13" s="147"/>
      <c r="AF13" s="236"/>
      <c r="AG13" s="147">
        <v>0</v>
      </c>
      <c r="AH13" s="147">
        <v>0</v>
      </c>
      <c r="AI13" s="147">
        <v>0</v>
      </c>
      <c r="AJ13" s="147">
        <v>0</v>
      </c>
      <c r="AK13" s="236">
        <v>0</v>
      </c>
      <c r="AL13" s="147">
        <v>0</v>
      </c>
      <c r="AM13" s="147">
        <v>-1</v>
      </c>
      <c r="AN13" s="147">
        <v>0</v>
      </c>
      <c r="AO13" s="147">
        <v>-1</v>
      </c>
      <c r="AP13" s="236">
        <v>-2</v>
      </c>
      <c r="AQ13" s="147">
        <v>0</v>
      </c>
      <c r="AR13" s="147">
        <v>-1</v>
      </c>
      <c r="AS13" s="147">
        <v>0</v>
      </c>
      <c r="AT13" s="147">
        <v>1</v>
      </c>
      <c r="AU13" s="236">
        <v>0</v>
      </c>
      <c r="AV13" s="147">
        <v>0</v>
      </c>
      <c r="AW13" s="147">
        <v>0</v>
      </c>
      <c r="AX13" s="147">
        <v>0</v>
      </c>
      <c r="AY13" s="147">
        <v>-21</v>
      </c>
      <c r="AZ13" s="236">
        <v>-21</v>
      </c>
      <c r="BA13" s="147">
        <v>-15</v>
      </c>
      <c r="BB13" s="147">
        <v>-44</v>
      </c>
      <c r="BC13" s="147">
        <v>-23</v>
      </c>
      <c r="BD13" s="147">
        <v>-45</v>
      </c>
      <c r="BE13" s="236">
        <v>-127</v>
      </c>
      <c r="BF13" s="147">
        <v>-13</v>
      </c>
      <c r="BG13" s="147">
        <v>12</v>
      </c>
      <c r="BH13" s="147">
        <v>19</v>
      </c>
      <c r="BI13" s="147">
        <v>-25</v>
      </c>
      <c r="BJ13" s="236">
        <v>-7</v>
      </c>
      <c r="BK13" s="577"/>
      <c r="BL13" s="467"/>
    </row>
    <row r="14" spans="2:64" s="1" customFormat="1" ht="12" thickBot="1">
      <c r="B14" s="394" t="str">
        <f>names!A465</f>
        <v>Udział w wyniku finansowym jednostek wycenianych metodą praw własności</v>
      </c>
      <c r="C14" s="436">
        <v>0</v>
      </c>
      <c r="D14" s="436">
        <v>0</v>
      </c>
      <c r="E14" s="436">
        <v>0</v>
      </c>
      <c r="F14" s="436">
        <v>0</v>
      </c>
      <c r="G14" s="437">
        <v>0</v>
      </c>
      <c r="H14" s="436">
        <v>0</v>
      </c>
      <c r="I14" s="436">
        <v>0</v>
      </c>
      <c r="J14" s="436">
        <v>0</v>
      </c>
      <c r="K14" s="436">
        <v>0</v>
      </c>
      <c r="L14" s="437">
        <v>0</v>
      </c>
      <c r="M14" s="436">
        <v>0</v>
      </c>
      <c r="N14" s="436">
        <v>0</v>
      </c>
      <c r="O14" s="436">
        <v>0</v>
      </c>
      <c r="P14" s="436">
        <v>0</v>
      </c>
      <c r="Q14" s="437">
        <v>0</v>
      </c>
      <c r="R14" s="436">
        <v>0</v>
      </c>
      <c r="S14" s="436">
        <v>0</v>
      </c>
      <c r="T14" s="436">
        <v>-1</v>
      </c>
      <c r="U14" s="436">
        <v>0</v>
      </c>
      <c r="V14" s="437">
        <v>-1</v>
      </c>
      <c r="W14" s="436">
        <v>0</v>
      </c>
      <c r="X14" s="436">
        <v>-1</v>
      </c>
      <c r="Y14" s="436">
        <v>0</v>
      </c>
      <c r="Z14" s="436">
        <v>2</v>
      </c>
      <c r="AA14" s="437">
        <v>1</v>
      </c>
      <c r="AB14" s="436">
        <v>0</v>
      </c>
      <c r="AC14" s="436">
        <v>0</v>
      </c>
      <c r="AD14" s="436">
        <v>0</v>
      </c>
      <c r="AE14" s="436">
        <v>0</v>
      </c>
      <c r="AF14" s="437">
        <v>0</v>
      </c>
      <c r="AG14" s="436">
        <v>0</v>
      </c>
      <c r="AH14" s="436">
        <v>0</v>
      </c>
      <c r="AI14" s="436">
        <v>0</v>
      </c>
      <c r="AJ14" s="436">
        <v>0</v>
      </c>
      <c r="AK14" s="437">
        <v>0</v>
      </c>
      <c r="AL14" s="436">
        <v>0</v>
      </c>
      <c r="AM14" s="436">
        <v>0</v>
      </c>
      <c r="AN14" s="436">
        <v>0</v>
      </c>
      <c r="AO14" s="436">
        <v>0</v>
      </c>
      <c r="AP14" s="437">
        <v>0</v>
      </c>
      <c r="AQ14" s="436">
        <v>0</v>
      </c>
      <c r="AR14" s="436">
        <v>0</v>
      </c>
      <c r="AS14" s="436">
        <v>0</v>
      </c>
      <c r="AT14" s="436">
        <v>0</v>
      </c>
      <c r="AU14" s="437">
        <v>0</v>
      </c>
      <c r="AV14" s="436">
        <v>0</v>
      </c>
      <c r="AW14" s="436">
        <v>0</v>
      </c>
      <c r="AX14" s="436">
        <v>1</v>
      </c>
      <c r="AY14" s="436">
        <v>0</v>
      </c>
      <c r="AZ14" s="437">
        <v>1</v>
      </c>
      <c r="BA14" s="436">
        <v>1</v>
      </c>
      <c r="BB14" s="436">
        <v>0</v>
      </c>
      <c r="BC14" s="436">
        <v>1</v>
      </c>
      <c r="BD14" s="436">
        <v>0</v>
      </c>
      <c r="BE14" s="437">
        <v>0</v>
      </c>
      <c r="BF14" s="436">
        <v>-31</v>
      </c>
      <c r="BG14" s="436">
        <v>-1</v>
      </c>
      <c r="BH14" s="436">
        <v>-11</v>
      </c>
      <c r="BI14" s="436">
        <v>0</v>
      </c>
      <c r="BJ14" s="437">
        <v>0</v>
      </c>
      <c r="BK14" s="577"/>
      <c r="BL14" s="467"/>
    </row>
    <row r="15" spans="2:64" s="56" customFormat="1" ht="23.25" thickBot="1">
      <c r="B15" s="93" t="str">
        <f>names!$A539</f>
        <v>Zysk/(Strata) operacyjna powiększona o amortyzację (EBITDA) przed odpisami aktualizującymi</v>
      </c>
      <c r="C15" s="153">
        <v>-6</v>
      </c>
      <c r="D15" s="153">
        <v>-3</v>
      </c>
      <c r="E15" s="153">
        <v>-9</v>
      </c>
      <c r="F15" s="153">
        <v>-14</v>
      </c>
      <c r="G15" s="240">
        <v>-32</v>
      </c>
      <c r="H15" s="153">
        <v>31</v>
      </c>
      <c r="I15" s="153">
        <f>19+8</f>
        <v>27</v>
      </c>
      <c r="J15" s="153">
        <v>52</v>
      </c>
      <c r="K15" s="153">
        <f>-272+314</f>
        <v>42</v>
      </c>
      <c r="L15" s="240">
        <f>-170+322</f>
        <v>152</v>
      </c>
      <c r="M15" s="153">
        <v>14</v>
      </c>
      <c r="N15" s="153">
        <v>13</v>
      </c>
      <c r="O15" s="153">
        <v>10</v>
      </c>
      <c r="P15" s="153">
        <v>7</v>
      </c>
      <c r="Q15" s="240">
        <v>44</v>
      </c>
      <c r="R15" s="153">
        <v>27</v>
      </c>
      <c r="S15" s="153">
        <v>42</v>
      </c>
      <c r="T15" s="153">
        <v>58</v>
      </c>
      <c r="U15" s="153">
        <v>128</v>
      </c>
      <c r="V15" s="240">
        <v>255</v>
      </c>
      <c r="W15" s="153">
        <v>80</v>
      </c>
      <c r="X15" s="153">
        <v>82</v>
      </c>
      <c r="Y15" s="153">
        <v>53</v>
      </c>
      <c r="Z15" s="153">
        <v>78</v>
      </c>
      <c r="AA15" s="240">
        <v>293</v>
      </c>
      <c r="AB15" s="153">
        <v>68</v>
      </c>
      <c r="AC15" s="153">
        <v>82</v>
      </c>
      <c r="AD15" s="153">
        <v>86</v>
      </c>
      <c r="AE15" s="153">
        <v>69</v>
      </c>
      <c r="AF15" s="240">
        <v>305</v>
      </c>
      <c r="AG15" s="153">
        <v>94</v>
      </c>
      <c r="AH15" s="153">
        <v>83</v>
      </c>
      <c r="AI15" s="153">
        <v>85</v>
      </c>
      <c r="AJ15" s="153">
        <v>33</v>
      </c>
      <c r="AK15" s="240">
        <v>295</v>
      </c>
      <c r="AL15" s="153">
        <v>219</v>
      </c>
      <c r="AM15" s="153">
        <v>10</v>
      </c>
      <c r="AN15" s="153">
        <v>44</v>
      </c>
      <c r="AO15" s="153">
        <v>49</v>
      </c>
      <c r="AP15" s="240">
        <v>322</v>
      </c>
      <c r="AQ15" s="153">
        <v>14</v>
      </c>
      <c r="AR15" s="153">
        <v>60</v>
      </c>
      <c r="AS15" s="153">
        <v>130</v>
      </c>
      <c r="AT15" s="153">
        <v>183</v>
      </c>
      <c r="AU15" s="240">
        <v>387</v>
      </c>
      <c r="AV15" s="153">
        <v>162</v>
      </c>
      <c r="AW15" s="153">
        <v>336</v>
      </c>
      <c r="AX15" s="153">
        <v>781</v>
      </c>
      <c r="AY15" s="153">
        <v>6670</v>
      </c>
      <c r="AZ15" s="240">
        <v>7949</v>
      </c>
      <c r="BA15" s="153">
        <v>2270</v>
      </c>
      <c r="BB15" s="153">
        <v>-111</v>
      </c>
      <c r="BC15" s="153">
        <v>-211</v>
      </c>
      <c r="BD15" s="153">
        <v>150</v>
      </c>
      <c r="BE15" s="240">
        <v>2385</v>
      </c>
      <c r="BF15" s="153">
        <v>-4110</v>
      </c>
      <c r="BG15" s="153">
        <v>-3941</v>
      </c>
      <c r="BH15" s="153">
        <v>3312</v>
      </c>
      <c r="BI15" s="153">
        <v>4928</v>
      </c>
      <c r="BJ15" s="240">
        <v>305</v>
      </c>
      <c r="BK15" s="577"/>
      <c r="BL15" s="467"/>
    </row>
    <row r="16" spans="2:64" s="56" customFormat="1" ht="12" thickBot="1">
      <c r="B16" s="392" t="str">
        <f>names!$A540</f>
        <v>Zysk/(Strata) operacyjna powiększona o amortyzację (EBITDA)</v>
      </c>
      <c r="C16" s="153">
        <v>-6</v>
      </c>
      <c r="D16" s="153">
        <v>-3</v>
      </c>
      <c r="E16" s="153">
        <v>-9</v>
      </c>
      <c r="F16" s="153">
        <v>-14</v>
      </c>
      <c r="G16" s="240">
        <v>-32</v>
      </c>
      <c r="H16" s="153">
        <v>31</v>
      </c>
      <c r="I16" s="153">
        <v>19</v>
      </c>
      <c r="J16" s="153">
        <v>52</v>
      </c>
      <c r="K16" s="153">
        <v>-272</v>
      </c>
      <c r="L16" s="240">
        <v>-170</v>
      </c>
      <c r="M16" s="153">
        <v>14</v>
      </c>
      <c r="N16" s="153">
        <v>-416</v>
      </c>
      <c r="O16" s="153">
        <v>10</v>
      </c>
      <c r="P16" s="153">
        <v>-416</v>
      </c>
      <c r="Q16" s="240">
        <v>-808</v>
      </c>
      <c r="R16" s="153">
        <v>27</v>
      </c>
      <c r="S16" s="153">
        <v>40</v>
      </c>
      <c r="T16" s="153">
        <v>59</v>
      </c>
      <c r="U16" s="153">
        <v>56</v>
      </c>
      <c r="V16" s="240">
        <v>182</v>
      </c>
      <c r="W16" s="153">
        <v>79</v>
      </c>
      <c r="X16" s="153">
        <v>82</v>
      </c>
      <c r="Y16" s="153">
        <v>11</v>
      </c>
      <c r="Z16" s="153">
        <v>-19</v>
      </c>
      <c r="AA16" s="240">
        <v>153</v>
      </c>
      <c r="AB16" s="153">
        <v>66</v>
      </c>
      <c r="AC16" s="153">
        <v>72</v>
      </c>
      <c r="AD16" s="153">
        <v>86</v>
      </c>
      <c r="AE16" s="153">
        <v>63</v>
      </c>
      <c r="AF16" s="240">
        <v>287</v>
      </c>
      <c r="AG16" s="153">
        <v>93</v>
      </c>
      <c r="AH16" s="153">
        <v>82</v>
      </c>
      <c r="AI16" s="153">
        <v>23</v>
      </c>
      <c r="AJ16" s="153">
        <v>-34</v>
      </c>
      <c r="AK16" s="240">
        <v>164</v>
      </c>
      <c r="AL16" s="153">
        <v>-277</v>
      </c>
      <c r="AM16" s="153">
        <v>-123</v>
      </c>
      <c r="AN16" s="153">
        <v>54</v>
      </c>
      <c r="AO16" s="153">
        <v>-754</v>
      </c>
      <c r="AP16" s="240">
        <v>-1100</v>
      </c>
      <c r="AQ16" s="153">
        <v>14</v>
      </c>
      <c r="AR16" s="153">
        <v>60</v>
      </c>
      <c r="AS16" s="153">
        <v>130</v>
      </c>
      <c r="AT16" s="153">
        <v>1101</v>
      </c>
      <c r="AU16" s="240">
        <v>1305</v>
      </c>
      <c r="AV16" s="153">
        <v>162</v>
      </c>
      <c r="AW16" s="153">
        <v>304</v>
      </c>
      <c r="AX16" s="153">
        <v>741</v>
      </c>
      <c r="AY16" s="153">
        <v>6560</v>
      </c>
      <c r="AZ16" s="240">
        <v>7767</v>
      </c>
      <c r="BA16" s="153">
        <v>41</v>
      </c>
      <c r="BB16" s="153">
        <v>-152</v>
      </c>
      <c r="BC16" s="153">
        <v>-225</v>
      </c>
      <c r="BD16" s="153">
        <v>-3426</v>
      </c>
      <c r="BE16" s="240">
        <v>-3475</v>
      </c>
      <c r="BF16" s="153">
        <v>-4153</v>
      </c>
      <c r="BG16" s="153">
        <v>-3960</v>
      </c>
      <c r="BH16" s="153">
        <v>3131</v>
      </c>
      <c r="BI16" s="153">
        <v>4117</v>
      </c>
      <c r="BJ16" s="240">
        <v>166</v>
      </c>
      <c r="BK16" s="577"/>
      <c r="BL16" s="467"/>
    </row>
    <row r="17" spans="2:64" s="56" customFormat="1" ht="12" thickBot="1">
      <c r="B17" s="386" t="str">
        <f>names!$A541</f>
        <v>Zysk/(Strata) operacyjna (EBIT) przed odpisami aktualizującymi</v>
      </c>
      <c r="C17" s="148">
        <v>-6</v>
      </c>
      <c r="D17" s="148">
        <v>-4</v>
      </c>
      <c r="E17" s="148">
        <v>-10</v>
      </c>
      <c r="F17" s="148">
        <v>-18</v>
      </c>
      <c r="G17" s="202">
        <v>-38</v>
      </c>
      <c r="H17" s="148">
        <v>14</v>
      </c>
      <c r="I17" s="153">
        <v>7</v>
      </c>
      <c r="J17" s="148">
        <v>15</v>
      </c>
      <c r="K17" s="153">
        <v>-6</v>
      </c>
      <c r="L17" s="240">
        <v>30</v>
      </c>
      <c r="M17" s="153">
        <v>-20</v>
      </c>
      <c r="N17" s="153">
        <v>-26</v>
      </c>
      <c r="O17" s="153">
        <v>-26</v>
      </c>
      <c r="P17" s="153">
        <v>-57</v>
      </c>
      <c r="Q17" s="240">
        <v>-129</v>
      </c>
      <c r="R17" s="153">
        <v>-44</v>
      </c>
      <c r="S17" s="153">
        <v>-30</v>
      </c>
      <c r="T17" s="153">
        <v>-27</v>
      </c>
      <c r="U17" s="153">
        <v>55</v>
      </c>
      <c r="V17" s="240">
        <v>-46</v>
      </c>
      <c r="W17" s="153">
        <v>5</v>
      </c>
      <c r="X17" s="153">
        <v>4</v>
      </c>
      <c r="Y17" s="153">
        <v>-36</v>
      </c>
      <c r="Z17" s="153">
        <v>2</v>
      </c>
      <c r="AA17" s="240">
        <v>-25</v>
      </c>
      <c r="AB17" s="153">
        <v>-7</v>
      </c>
      <c r="AC17" s="153">
        <v>0</v>
      </c>
      <c r="AD17" s="153">
        <v>6</v>
      </c>
      <c r="AE17" s="153">
        <v>-2</v>
      </c>
      <c r="AF17" s="240">
        <v>-3</v>
      </c>
      <c r="AG17" s="153">
        <v>24</v>
      </c>
      <c r="AH17" s="153">
        <v>17</v>
      </c>
      <c r="AI17" s="153">
        <v>-15</v>
      </c>
      <c r="AJ17" s="153">
        <v>-50</v>
      </c>
      <c r="AK17" s="240">
        <v>-24</v>
      </c>
      <c r="AL17" s="153">
        <v>125</v>
      </c>
      <c r="AM17" s="153">
        <v>-68</v>
      </c>
      <c r="AN17" s="153">
        <v>-28</v>
      </c>
      <c r="AO17" s="153">
        <v>-57</v>
      </c>
      <c r="AP17" s="240">
        <v>-28</v>
      </c>
      <c r="AQ17" s="153">
        <v>-61</v>
      </c>
      <c r="AR17" s="153">
        <v>-22</v>
      </c>
      <c r="AS17" s="153">
        <v>50</v>
      </c>
      <c r="AT17" s="153">
        <v>160</v>
      </c>
      <c r="AU17" s="240">
        <v>127</v>
      </c>
      <c r="AV17" s="153">
        <v>92</v>
      </c>
      <c r="AW17" s="153">
        <v>231</v>
      </c>
      <c r="AX17" s="153">
        <v>577</v>
      </c>
      <c r="AY17" s="153">
        <v>5339</v>
      </c>
      <c r="AZ17" s="240">
        <v>6239</v>
      </c>
      <c r="BA17" s="153">
        <v>658</v>
      </c>
      <c r="BB17" s="153">
        <v>-1383</v>
      </c>
      <c r="BC17" s="153">
        <v>-1499</v>
      </c>
      <c r="BD17" s="153">
        <v>-1280</v>
      </c>
      <c r="BE17" s="240">
        <v>-3217</v>
      </c>
      <c r="BF17" s="153">
        <v>-5390</v>
      </c>
      <c r="BG17" s="153">
        <v>-5291</v>
      </c>
      <c r="BH17" s="153">
        <v>2142</v>
      </c>
      <c r="BI17" s="153">
        <v>3558</v>
      </c>
      <c r="BJ17" s="240">
        <v>-4865</v>
      </c>
      <c r="BK17" s="577"/>
      <c r="BL17" s="467"/>
    </row>
    <row r="18" spans="2:64" s="56" customFormat="1" ht="12" thickBot="1">
      <c r="B18" s="58" t="str">
        <f>names!$A542</f>
        <v>Zysk/(Strata) operacyjna (EBIT)</v>
      </c>
      <c r="C18" s="148">
        <v>-6</v>
      </c>
      <c r="D18" s="148">
        <v>-4</v>
      </c>
      <c r="E18" s="148">
        <v>-10</v>
      </c>
      <c r="F18" s="148">
        <v>-18</v>
      </c>
      <c r="G18" s="202">
        <v>-38</v>
      </c>
      <c r="H18" s="148">
        <v>14</v>
      </c>
      <c r="I18" s="148">
        <v>-1</v>
      </c>
      <c r="J18" s="148">
        <v>15</v>
      </c>
      <c r="K18" s="148">
        <v>-320</v>
      </c>
      <c r="L18" s="202">
        <v>-292</v>
      </c>
      <c r="M18" s="148">
        <v>-20</v>
      </c>
      <c r="N18" s="148">
        <v>-455</v>
      </c>
      <c r="O18" s="148">
        <v>-26</v>
      </c>
      <c r="P18" s="148">
        <v>-480</v>
      </c>
      <c r="Q18" s="202">
        <v>-981</v>
      </c>
      <c r="R18" s="148">
        <v>-44</v>
      </c>
      <c r="S18" s="148">
        <v>-32</v>
      </c>
      <c r="T18" s="148">
        <v>-26</v>
      </c>
      <c r="U18" s="148">
        <v>-17</v>
      </c>
      <c r="V18" s="202">
        <v>-119</v>
      </c>
      <c r="W18" s="148">
        <v>4</v>
      </c>
      <c r="X18" s="148">
        <v>4</v>
      </c>
      <c r="Y18" s="148">
        <v>-78</v>
      </c>
      <c r="Z18" s="148">
        <v>-95</v>
      </c>
      <c r="AA18" s="202">
        <v>-165</v>
      </c>
      <c r="AB18" s="148">
        <v>-9</v>
      </c>
      <c r="AC18" s="148">
        <v>-10</v>
      </c>
      <c r="AD18" s="148">
        <v>6</v>
      </c>
      <c r="AE18" s="148">
        <v>-8</v>
      </c>
      <c r="AF18" s="202">
        <v>-21</v>
      </c>
      <c r="AG18" s="148">
        <v>23</v>
      </c>
      <c r="AH18" s="148">
        <v>16</v>
      </c>
      <c r="AI18" s="148">
        <v>-77</v>
      </c>
      <c r="AJ18" s="148">
        <v>-117</v>
      </c>
      <c r="AK18" s="202">
        <v>-155</v>
      </c>
      <c r="AL18" s="148">
        <v>-371</v>
      </c>
      <c r="AM18" s="148">
        <v>-201</v>
      </c>
      <c r="AN18" s="148">
        <v>-18</v>
      </c>
      <c r="AO18" s="148">
        <v>-860</v>
      </c>
      <c r="AP18" s="202">
        <v>-1450</v>
      </c>
      <c r="AQ18" s="148">
        <v>-61</v>
      </c>
      <c r="AR18" s="148">
        <v>-22</v>
      </c>
      <c r="AS18" s="148">
        <v>50</v>
      </c>
      <c r="AT18" s="148">
        <v>1078</v>
      </c>
      <c r="AU18" s="202">
        <v>1045</v>
      </c>
      <c r="AV18" s="148">
        <v>92</v>
      </c>
      <c r="AW18" s="148">
        <v>199</v>
      </c>
      <c r="AX18" s="148">
        <v>537</v>
      </c>
      <c r="AY18" s="148">
        <v>5229</v>
      </c>
      <c r="AZ18" s="202">
        <v>6057</v>
      </c>
      <c r="BA18" s="148">
        <v>-1571</v>
      </c>
      <c r="BB18" s="148">
        <v>-1424</v>
      </c>
      <c r="BC18" s="148">
        <v>-1513</v>
      </c>
      <c r="BD18" s="148">
        <v>-4856</v>
      </c>
      <c r="BE18" s="202">
        <v>-9077</v>
      </c>
      <c r="BF18" s="148">
        <v>-5433</v>
      </c>
      <c r="BG18" s="148">
        <v>-5310</v>
      </c>
      <c r="BH18" s="148">
        <v>1961</v>
      </c>
      <c r="BI18" s="148">
        <v>2747</v>
      </c>
      <c r="BJ18" s="202">
        <v>-5004</v>
      </c>
      <c r="BK18" s="577"/>
      <c r="BL18" s="467"/>
    </row>
    <row r="19" spans="2:64" s="1" customFormat="1" ht="11.25">
      <c r="B19" s="42" t="str">
        <f>names!$A495</f>
        <v>Zwiększenie aktywów trwałych **</v>
      </c>
      <c r="C19" s="149">
        <v>55</v>
      </c>
      <c r="D19" s="149">
        <v>105</v>
      </c>
      <c r="E19" s="149">
        <v>58</v>
      </c>
      <c r="F19" s="149">
        <v>86</v>
      </c>
      <c r="G19" s="241">
        <v>304</v>
      </c>
      <c r="H19" s="149">
        <v>127</v>
      </c>
      <c r="I19" s="149">
        <v>54</v>
      </c>
      <c r="J19" s="149">
        <v>178</v>
      </c>
      <c r="K19" s="149">
        <v>140</v>
      </c>
      <c r="L19" s="241">
        <v>499</v>
      </c>
      <c r="M19" s="149">
        <v>76</v>
      </c>
      <c r="N19" s="149">
        <v>21</v>
      </c>
      <c r="O19" s="149">
        <v>98</v>
      </c>
      <c r="P19" s="149">
        <v>93</v>
      </c>
      <c r="Q19" s="241">
        <v>288</v>
      </c>
      <c r="R19" s="149">
        <v>126</v>
      </c>
      <c r="S19" s="149">
        <v>180</v>
      </c>
      <c r="T19" s="149">
        <v>94</v>
      </c>
      <c r="U19" s="149">
        <v>125</v>
      </c>
      <c r="V19" s="241">
        <v>525</v>
      </c>
      <c r="W19" s="149">
        <v>153</v>
      </c>
      <c r="X19" s="149">
        <v>339</v>
      </c>
      <c r="Y19" s="149">
        <v>122</v>
      </c>
      <c r="Z19" s="149">
        <v>164</v>
      </c>
      <c r="AA19" s="241">
        <v>778</v>
      </c>
      <c r="AB19" s="149">
        <v>247</v>
      </c>
      <c r="AC19" s="149">
        <v>134</v>
      </c>
      <c r="AD19" s="149">
        <v>172</v>
      </c>
      <c r="AE19" s="149">
        <v>187</v>
      </c>
      <c r="AF19" s="241">
        <v>740</v>
      </c>
      <c r="AG19" s="149">
        <v>148</v>
      </c>
      <c r="AH19" s="149">
        <v>119</v>
      </c>
      <c r="AI19" s="149">
        <v>136</v>
      </c>
      <c r="AJ19" s="149">
        <v>229</v>
      </c>
      <c r="AK19" s="241">
        <v>632</v>
      </c>
      <c r="AL19" s="149">
        <v>176</v>
      </c>
      <c r="AM19" s="149">
        <v>38</v>
      </c>
      <c r="AN19" s="149">
        <v>51</v>
      </c>
      <c r="AO19" s="149">
        <v>135</v>
      </c>
      <c r="AP19" s="241">
        <v>400</v>
      </c>
      <c r="AQ19" s="149">
        <v>87</v>
      </c>
      <c r="AR19" s="149">
        <v>52</v>
      </c>
      <c r="AS19" s="149">
        <v>74</v>
      </c>
      <c r="AT19" s="149">
        <v>150</v>
      </c>
      <c r="AU19" s="241">
        <v>363</v>
      </c>
      <c r="AV19" s="149">
        <v>183</v>
      </c>
      <c r="AW19" s="149">
        <v>71</v>
      </c>
      <c r="AX19" s="149">
        <v>189</v>
      </c>
      <c r="AY19" s="149">
        <v>1737</v>
      </c>
      <c r="AZ19" s="241">
        <v>2180</v>
      </c>
      <c r="BA19" s="149">
        <v>1340</v>
      </c>
      <c r="BB19" s="149">
        <v>1272</v>
      </c>
      <c r="BC19" s="149">
        <v>1316</v>
      </c>
      <c r="BD19" s="149">
        <v>1604</v>
      </c>
      <c r="BE19" s="241">
        <v>5532</v>
      </c>
      <c r="BF19" s="149">
        <v>1591</v>
      </c>
      <c r="BG19" s="149">
        <v>1678</v>
      </c>
      <c r="BH19" s="149">
        <v>1748</v>
      </c>
      <c r="BI19" s="149">
        <v>2420</v>
      </c>
      <c r="BJ19" s="241">
        <v>7437</v>
      </c>
      <c r="BK19" s="577"/>
      <c r="BL19" s="467"/>
    </row>
    <row r="20" spans="2:64" s="1" customFormat="1" ht="11.25">
      <c r="B20" s="94" t="str">
        <f>names!$A496</f>
        <v>Sprzedaż produktów (tys. ton)</v>
      </c>
      <c r="C20" s="133">
        <v>0</v>
      </c>
      <c r="D20" s="133">
        <v>0</v>
      </c>
      <c r="E20" s="133">
        <v>0</v>
      </c>
      <c r="F20" s="133">
        <v>17</v>
      </c>
      <c r="G20" s="230">
        <v>17</v>
      </c>
      <c r="H20" s="133">
        <v>41</v>
      </c>
      <c r="I20" s="133">
        <v>50</v>
      </c>
      <c r="J20" s="133">
        <v>80</v>
      </c>
      <c r="K20" s="133">
        <v>87</v>
      </c>
      <c r="L20" s="230">
        <v>258</v>
      </c>
      <c r="M20" s="133">
        <v>71</v>
      </c>
      <c r="N20" s="133">
        <v>83</v>
      </c>
      <c r="O20" s="133">
        <v>75</v>
      </c>
      <c r="P20" s="133">
        <v>81</v>
      </c>
      <c r="Q20" s="230">
        <v>310</v>
      </c>
      <c r="R20" s="133">
        <v>136</v>
      </c>
      <c r="S20" s="133">
        <v>131</v>
      </c>
      <c r="T20" s="133">
        <v>144</v>
      </c>
      <c r="U20" s="133">
        <v>147</v>
      </c>
      <c r="V20" s="230">
        <v>558</v>
      </c>
      <c r="W20" s="133">
        <v>147</v>
      </c>
      <c r="X20" s="133">
        <v>153</v>
      </c>
      <c r="Y20" s="133">
        <v>172</v>
      </c>
      <c r="Z20" s="133">
        <v>166</v>
      </c>
      <c r="AA20" s="230">
        <v>638</v>
      </c>
      <c r="AB20" s="133">
        <v>171</v>
      </c>
      <c r="AC20" s="133">
        <v>182</v>
      </c>
      <c r="AD20" s="133">
        <v>172</v>
      </c>
      <c r="AE20" s="133">
        <v>203</v>
      </c>
      <c r="AF20" s="230">
        <v>728</v>
      </c>
      <c r="AG20" s="133">
        <v>184</v>
      </c>
      <c r="AH20" s="133">
        <v>179</v>
      </c>
      <c r="AI20" s="133">
        <v>180</v>
      </c>
      <c r="AJ20" s="133">
        <v>193</v>
      </c>
      <c r="AK20" s="230">
        <v>736</v>
      </c>
      <c r="AL20" s="133">
        <v>204</v>
      </c>
      <c r="AM20" s="133">
        <v>192</v>
      </c>
      <c r="AN20" s="133">
        <v>177</v>
      </c>
      <c r="AO20" s="133">
        <v>169</v>
      </c>
      <c r="AP20" s="230">
        <v>742</v>
      </c>
      <c r="AQ20" s="133">
        <v>156</v>
      </c>
      <c r="AR20" s="133">
        <v>174</v>
      </c>
      <c r="AS20" s="133">
        <v>166</v>
      </c>
      <c r="AT20" s="133">
        <v>158</v>
      </c>
      <c r="AU20" s="230">
        <v>654</v>
      </c>
      <c r="AV20" s="133">
        <v>160</v>
      </c>
      <c r="AW20" s="133">
        <v>179</v>
      </c>
      <c r="AX20" s="133">
        <v>225</v>
      </c>
      <c r="AY20" s="133">
        <v>274</v>
      </c>
      <c r="AZ20" s="230">
        <v>838</v>
      </c>
      <c r="BA20" s="133">
        <v>520</v>
      </c>
      <c r="BB20" s="133">
        <v>521</v>
      </c>
      <c r="BC20" s="133">
        <v>411</v>
      </c>
      <c r="BD20" s="133">
        <v>429</v>
      </c>
      <c r="BE20" s="230">
        <v>1881</v>
      </c>
      <c r="BF20" s="133">
        <v>662</v>
      </c>
      <c r="BG20" s="133">
        <v>508</v>
      </c>
      <c r="BH20" s="133">
        <v>548</v>
      </c>
      <c r="BI20" s="133">
        <v>677</v>
      </c>
      <c r="BJ20" s="230">
        <v>2395</v>
      </c>
      <c r="BK20" s="577"/>
      <c r="BL20" s="467"/>
    </row>
    <row r="21" spans="2:64">
      <c r="B21" s="1006" t="str">
        <f>names!$A543</f>
        <v>*) Dane przekształcone – zmiana metody konsolidacji spółek Basell ORLEN Polyolefines Sp. z o.o. i Płocki Park Przemysłowo-Technologiczny S.A. zgodnie z MSSF 11.</v>
      </c>
      <c r="C21" s="1006"/>
      <c r="D21" s="1006"/>
      <c r="E21" s="1006"/>
      <c r="F21" s="1006"/>
      <c r="G21" s="1006"/>
      <c r="H21" s="1006"/>
      <c r="I21" s="1006"/>
      <c r="J21" s="1006"/>
      <c r="K21" s="1006"/>
      <c r="L21" s="1006"/>
      <c r="M21" s="1006"/>
      <c r="N21" s="1006"/>
      <c r="O21" s="1006"/>
      <c r="P21" s="1006"/>
      <c r="Q21" s="1006"/>
      <c r="R21" s="1006"/>
      <c r="S21" s="1006"/>
      <c r="T21" s="1006"/>
      <c r="U21" s="1006"/>
      <c r="V21" s="1006"/>
      <c r="W21" s="1006"/>
      <c r="X21" s="1006"/>
      <c r="Y21" s="1006"/>
      <c r="Z21" s="1006"/>
      <c r="AA21" s="1006"/>
      <c r="AB21" s="1006"/>
      <c r="AC21" s="1006"/>
      <c r="AD21" s="1006"/>
      <c r="AE21" s="1006"/>
      <c r="AF21" s="1006"/>
      <c r="AG21" s="1006"/>
      <c r="AH21" s="1006"/>
      <c r="AI21" s="1006"/>
      <c r="AJ21" s="1006"/>
      <c r="AK21" s="1006"/>
      <c r="AL21" s="1006"/>
      <c r="AM21" s="1006"/>
      <c r="AN21" s="1006"/>
      <c r="AO21" s="1006"/>
      <c r="AP21" s="1006"/>
      <c r="AQ21" s="1006"/>
      <c r="AR21" s="1006"/>
      <c r="AS21" s="1006"/>
      <c r="AT21" s="1006"/>
      <c r="AU21" s="1006"/>
      <c r="AV21" s="1006"/>
      <c r="AW21" s="1006"/>
      <c r="AX21" s="1006"/>
      <c r="AY21" s="1006"/>
      <c r="AZ21" s="1006"/>
      <c r="BA21" s="13"/>
      <c r="BB21" s="13"/>
      <c r="BC21" s="13"/>
      <c r="BD21" s="13"/>
      <c r="BE21" s="13"/>
      <c r="BF21" s="13"/>
      <c r="BG21" s="13"/>
      <c r="BH21" s="13"/>
      <c r="BI21" s="13"/>
      <c r="BJ21" s="13"/>
      <c r="BK21" s="577"/>
    </row>
    <row r="22" spans="2:64">
      <c r="B22" s="1007" t="str">
        <f>names!$A544</f>
        <v>**) Zgodnie z MSSF 16 Leasing w pozycji zwiększenie aktywów trwałych ujęto wartość praw do użytkowania.</v>
      </c>
      <c r="C22" s="1007"/>
      <c r="D22" s="1007"/>
      <c r="E22" s="1007"/>
      <c r="F22" s="1007"/>
      <c r="G22" s="1007"/>
      <c r="H22" s="1007"/>
      <c r="I22" s="1007"/>
      <c r="J22" s="1007"/>
      <c r="K22" s="1007"/>
      <c r="L22" s="1007"/>
      <c r="M22" s="1007"/>
      <c r="N22" s="1007"/>
      <c r="O22" s="1007"/>
      <c r="P22" s="1007"/>
      <c r="Q22" s="1007"/>
      <c r="R22" s="1007"/>
      <c r="S22" s="1007"/>
      <c r="T22" s="1007"/>
      <c r="U22" s="1007"/>
      <c r="V22" s="1007"/>
      <c r="W22" s="1007"/>
      <c r="X22" s="1007"/>
      <c r="Y22" s="1007"/>
      <c r="Z22" s="1007"/>
      <c r="AA22" s="1007"/>
      <c r="AB22" s="1007"/>
      <c r="AC22" s="1007"/>
      <c r="AD22" s="1007"/>
      <c r="AE22" s="1007"/>
      <c r="AF22" s="1007"/>
      <c r="AG22" s="1007"/>
      <c r="AH22" s="1007"/>
      <c r="AI22" s="1007"/>
      <c r="AJ22" s="1007"/>
      <c r="AK22" s="1007"/>
      <c r="AL22" s="1007"/>
      <c r="AM22" s="1007"/>
      <c r="AN22" s="1007"/>
      <c r="AO22" s="1007"/>
      <c r="AP22" s="1007"/>
      <c r="AQ22" s="1007"/>
      <c r="AR22" s="1007"/>
      <c r="AS22" s="1007"/>
      <c r="AT22" s="1007"/>
      <c r="AU22" s="1007"/>
      <c r="AV22" s="1007"/>
      <c r="AW22" s="1007"/>
      <c r="AX22" s="1007"/>
      <c r="AY22" s="1007"/>
      <c r="AZ22" s="1007"/>
      <c r="BA22" s="7"/>
      <c r="BB22" s="7"/>
      <c r="BC22" s="7"/>
      <c r="BD22" s="7"/>
      <c r="BE22" s="7"/>
      <c r="BF22" s="7"/>
      <c r="BG22" s="7"/>
      <c r="BH22" s="7"/>
      <c r="BI22" s="7"/>
      <c r="BJ22" s="7"/>
      <c r="BK22" s="577"/>
    </row>
    <row r="23" spans="2:64">
      <c r="B23" s="13"/>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row>
    <row r="24" spans="2:64">
      <c r="B24" s="577"/>
      <c r="C24" s="577"/>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577"/>
      <c r="AL24" s="577"/>
      <c r="AM24" s="577"/>
      <c r="AN24" s="577"/>
      <c r="AO24" s="577"/>
      <c r="AP24" s="577"/>
      <c r="AQ24" s="577"/>
      <c r="AR24" s="577"/>
      <c r="AS24" s="577"/>
      <c r="AT24" s="577"/>
      <c r="AU24" s="577"/>
      <c r="AV24" s="577"/>
      <c r="AW24" s="577"/>
      <c r="AX24" s="577"/>
      <c r="AY24" s="577"/>
      <c r="AZ24" s="577"/>
      <c r="BA24" s="577"/>
      <c r="BB24" s="577"/>
      <c r="BC24" s="577"/>
      <c r="BD24" s="577"/>
      <c r="BE24" s="577"/>
      <c r="BF24" s="577"/>
      <c r="BG24" s="577"/>
      <c r="BH24" s="577"/>
      <c r="BI24" s="577"/>
      <c r="BJ24" s="577"/>
    </row>
    <row r="25" spans="2:64">
      <c r="B25" s="13"/>
    </row>
    <row r="26" spans="2:64">
      <c r="B26" s="14"/>
    </row>
    <row r="27" spans="2:64">
      <c r="B27" s="14"/>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row>
    <row r="28" spans="2:64">
      <c r="B28" s="14"/>
    </row>
    <row r="29" spans="2:64">
      <c r="B29" s="14"/>
    </row>
    <row r="30" spans="2:64">
      <c r="B30" s="14"/>
    </row>
  </sheetData>
  <mergeCells count="2">
    <mergeCell ref="B21:AZ21"/>
    <mergeCell ref="B22:AZ22"/>
  </mergeCells>
  <conditionalFormatting sqref="B24:BJ24">
    <cfRule type="cellIs" dxfId="47" priority="2" operator="equal">
      <formula>FALSE</formula>
    </cfRule>
  </conditionalFormatting>
  <conditionalFormatting sqref="BK2:BK22">
    <cfRule type="cellIs" dxfId="46"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0.34998626667073579"/>
    <pageSetUpPr fitToPage="1"/>
  </sheetPr>
  <dimension ref="B2:S24"/>
  <sheetViews>
    <sheetView showGridLines="0" view="pageBreakPreview" zoomScaleNormal="100" zoomScaleSheetLayoutView="100" workbookViewId="0">
      <pane xSplit="2" ySplit="4" topLeftCell="C5" activePane="bottomRight" state="frozen"/>
      <selection activeCell="B5" sqref="B5"/>
      <selection pane="topRight" activeCell="B5" sqref="B5"/>
      <selection pane="bottomLeft" activeCell="B5" sqref="B5"/>
      <selection pane="bottomRight"/>
    </sheetView>
  </sheetViews>
  <sheetFormatPr defaultColWidth="9.28515625" defaultRowHeight="12.75" outlineLevelCol="1"/>
  <cols>
    <col min="1" max="1" width="1.28515625" customWidth="1"/>
    <col min="2" max="2" width="62.5703125" style="16" customWidth="1"/>
    <col min="3" max="3" width="8.42578125" hidden="1" customWidth="1" outlineLevel="1"/>
    <col min="4" max="6" width="7.5703125" hidden="1" customWidth="1" outlineLevel="1"/>
    <col min="7" max="7" width="7.5703125" customWidth="1" collapsed="1"/>
    <col min="8" max="8" width="8.42578125" hidden="1" customWidth="1" outlineLevel="1"/>
    <col min="9" max="11" width="7.5703125" hidden="1" customWidth="1" outlineLevel="1"/>
    <col min="12" max="12" width="8" customWidth="1" collapsed="1"/>
    <col min="13" max="13" width="8.42578125" hidden="1" customWidth="1" outlineLevel="1"/>
    <col min="14" max="16" width="7.5703125" hidden="1" customWidth="1" outlineLevel="1"/>
    <col min="17" max="17" width="8" customWidth="1" collapsed="1"/>
  </cols>
  <sheetData>
    <row r="2" spans="2:19" ht="15.75">
      <c r="B2" s="397" t="str">
        <f>names!$A546</f>
        <v>Segment Gaz</v>
      </c>
      <c r="R2" s="577"/>
    </row>
    <row r="3" spans="2:19" ht="10.15" customHeight="1">
      <c r="R3" s="577"/>
    </row>
    <row r="4" spans="2:19" s="24" customFormat="1" ht="29.25" customHeight="1">
      <c r="B4" s="15" t="str">
        <f>names!$A455</f>
        <v>Wyszczególnienie, 
mln PLN</v>
      </c>
      <c r="C4" s="15" t="str">
        <f>names!$A159</f>
        <v>I kw. 
2022</v>
      </c>
      <c r="D4" s="15" t="str">
        <f>names!$A160</f>
        <v>II kw. 
2022</v>
      </c>
      <c r="E4" s="15" t="str">
        <f>names!$A161</f>
        <v>III kw. 
2022</v>
      </c>
      <c r="F4" s="15" t="str">
        <f>names!$A162</f>
        <v>IV kw. 
2022</v>
      </c>
      <c r="G4" s="15" t="str">
        <f>names!$A163</f>
        <v>12 m-cy 2022</v>
      </c>
      <c r="H4" s="15" t="str">
        <f>names!$A164</f>
        <v>I kw. 
2023</v>
      </c>
      <c r="I4" s="15" t="str">
        <f>names!$A165</f>
        <v>II kw. 
2023</v>
      </c>
      <c r="J4" s="15" t="str">
        <f>names!$A166</f>
        <v>III kw. 
2023</v>
      </c>
      <c r="K4" s="15" t="str">
        <f>names!$A167</f>
        <v>IV kw. 
2023</v>
      </c>
      <c r="L4" s="15" t="str">
        <f>names!$A168</f>
        <v>12 m-cy 2023</v>
      </c>
      <c r="M4" s="15" t="str">
        <f>names!$A169</f>
        <v>I kw. 
2024</v>
      </c>
      <c r="N4" s="15" t="str">
        <f>names!$A170</f>
        <v>II kw. 
2024</v>
      </c>
      <c r="O4" s="15" t="str">
        <f>names!$A171</f>
        <v>III kw. 
2024</v>
      </c>
      <c r="P4" s="15" t="str">
        <f>names!$A172</f>
        <v>IV kw. 
2024</v>
      </c>
      <c r="Q4" s="15" t="str">
        <f>names!$A173</f>
        <v>12 m-cy 2024</v>
      </c>
      <c r="R4" s="577"/>
    </row>
    <row r="5" spans="2:19" s="30" customFormat="1" ht="7.15" customHeight="1">
      <c r="B5" s="92"/>
      <c r="C5" s="92"/>
      <c r="D5" s="92"/>
      <c r="E5" s="92"/>
      <c r="F5" s="92"/>
      <c r="G5" s="92"/>
      <c r="H5" s="92"/>
      <c r="I5" s="92"/>
      <c r="J5" s="92"/>
      <c r="K5" s="92"/>
      <c r="L5" s="92"/>
      <c r="M5" s="92"/>
      <c r="N5" s="92"/>
      <c r="O5" s="92"/>
      <c r="P5" s="92"/>
      <c r="Q5" s="92"/>
      <c r="R5" s="577"/>
    </row>
    <row r="6" spans="2:19" s="1" customFormat="1" ht="11.25">
      <c r="B6" s="59" t="str">
        <f>names!A457</f>
        <v>Przychody ze sprzedaży</v>
      </c>
      <c r="C6" s="146" t="s">
        <v>249</v>
      </c>
      <c r="D6" s="146" t="s">
        <v>249</v>
      </c>
      <c r="E6" s="146" t="s">
        <v>249</v>
      </c>
      <c r="F6" s="146">
        <v>34583</v>
      </c>
      <c r="G6" s="235">
        <v>34583</v>
      </c>
      <c r="H6" s="146">
        <v>61391</v>
      </c>
      <c r="I6" s="146">
        <v>28241</v>
      </c>
      <c r="J6" s="146">
        <v>24622</v>
      </c>
      <c r="K6" s="146">
        <v>44670</v>
      </c>
      <c r="L6" s="235">
        <v>158073</v>
      </c>
      <c r="M6" s="146">
        <v>33820</v>
      </c>
      <c r="N6" s="146">
        <v>18970</v>
      </c>
      <c r="O6" s="146">
        <v>18979</v>
      </c>
      <c r="P6" s="146">
        <v>30869</v>
      </c>
      <c r="Q6" s="235">
        <v>100667</v>
      </c>
      <c r="R6" s="577"/>
      <c r="S6" s="467"/>
    </row>
    <row r="7" spans="2:19" s="1" customFormat="1" ht="11.25">
      <c r="B7" s="95" t="str">
        <f>names!A458</f>
        <v>Sprzedaż zewnętrzna</v>
      </c>
      <c r="C7" s="147" t="s">
        <v>249</v>
      </c>
      <c r="D7" s="147" t="s">
        <v>249</v>
      </c>
      <c r="E7" s="147" t="s">
        <v>249</v>
      </c>
      <c r="F7" s="147">
        <v>30819</v>
      </c>
      <c r="G7" s="236">
        <v>30819</v>
      </c>
      <c r="H7" s="147">
        <v>55312</v>
      </c>
      <c r="I7" s="147">
        <v>25441</v>
      </c>
      <c r="J7" s="147">
        <v>21289</v>
      </c>
      <c r="K7" s="147">
        <v>39534</v>
      </c>
      <c r="L7" s="236">
        <v>140725</v>
      </c>
      <c r="M7" s="147">
        <v>29321</v>
      </c>
      <c r="N7" s="147">
        <v>15846</v>
      </c>
      <c r="O7" s="147">
        <v>15309</v>
      </c>
      <c r="P7" s="147">
        <v>26133</v>
      </c>
      <c r="Q7" s="236">
        <v>84638</v>
      </c>
      <c r="R7" s="577"/>
      <c r="S7" s="467"/>
    </row>
    <row r="8" spans="2:19" s="1" customFormat="1" ht="11.25">
      <c r="B8" s="25" t="str">
        <f>names!A459</f>
        <v>Sprzedaż między segmentami</v>
      </c>
      <c r="C8" s="131" t="s">
        <v>249</v>
      </c>
      <c r="D8" s="131" t="s">
        <v>249</v>
      </c>
      <c r="E8" s="131" t="s">
        <v>249</v>
      </c>
      <c r="F8" s="131">
        <v>3764</v>
      </c>
      <c r="G8" s="229">
        <v>3764</v>
      </c>
      <c r="H8" s="131">
        <v>6079</v>
      </c>
      <c r="I8" s="131">
        <v>2800</v>
      </c>
      <c r="J8" s="131">
        <v>3333</v>
      </c>
      <c r="K8" s="131">
        <v>5136</v>
      </c>
      <c r="L8" s="229">
        <v>17348</v>
      </c>
      <c r="M8" s="131">
        <v>4499</v>
      </c>
      <c r="N8" s="131">
        <v>3124</v>
      </c>
      <c r="O8" s="131">
        <v>3670</v>
      </c>
      <c r="P8" s="131">
        <v>4736</v>
      </c>
      <c r="Q8" s="229">
        <v>16029</v>
      </c>
      <c r="R8" s="577"/>
      <c r="S8" s="467"/>
    </row>
    <row r="9" spans="2:19" s="1" customFormat="1" ht="11.25">
      <c r="B9" s="89" t="str">
        <f>names!A460</f>
        <v>Koszty operacyjne ogółem</v>
      </c>
      <c r="C9" s="145" t="s">
        <v>249</v>
      </c>
      <c r="D9" s="145" t="s">
        <v>249</v>
      </c>
      <c r="E9" s="145" t="s">
        <v>249</v>
      </c>
      <c r="F9" s="145">
        <v>-29045</v>
      </c>
      <c r="G9" s="237">
        <v>-29045</v>
      </c>
      <c r="H9" s="145">
        <v>-52873</v>
      </c>
      <c r="I9" s="145">
        <v>-21475</v>
      </c>
      <c r="J9" s="145">
        <v>-17607</v>
      </c>
      <c r="K9" s="145">
        <v>-31687</v>
      </c>
      <c r="L9" s="237">
        <v>-122831</v>
      </c>
      <c r="M9" s="145">
        <v>-26509</v>
      </c>
      <c r="N9" s="145">
        <v>-15324</v>
      </c>
      <c r="O9" s="145">
        <v>-15951</v>
      </c>
      <c r="P9" s="145">
        <v>-26632</v>
      </c>
      <c r="Q9" s="237">
        <v>-82457</v>
      </c>
      <c r="R9" s="577"/>
      <c r="S9" s="467"/>
    </row>
    <row r="10" spans="2:19" s="1" customFormat="1" ht="11.25">
      <c r="B10" s="20" t="str">
        <f>names!A461</f>
        <v>Pozostałe przychody operacyjne</v>
      </c>
      <c r="C10" s="131" t="s">
        <v>249</v>
      </c>
      <c r="D10" s="131" t="s">
        <v>249</v>
      </c>
      <c r="E10" s="131" t="s">
        <v>249</v>
      </c>
      <c r="F10" s="131">
        <v>1707</v>
      </c>
      <c r="G10" s="229">
        <v>1707</v>
      </c>
      <c r="H10" s="131">
        <v>959</v>
      </c>
      <c r="I10" s="131">
        <v>981</v>
      </c>
      <c r="J10" s="131">
        <v>2084</v>
      </c>
      <c r="K10" s="131">
        <v>10694</v>
      </c>
      <c r="L10" s="229">
        <v>14354</v>
      </c>
      <c r="M10" s="131">
        <v>432</v>
      </c>
      <c r="N10" s="131">
        <v>154</v>
      </c>
      <c r="O10" s="131">
        <v>81</v>
      </c>
      <c r="P10" s="131">
        <v>502</v>
      </c>
      <c r="Q10" s="229">
        <v>1094</v>
      </c>
      <c r="R10" s="577"/>
      <c r="S10" s="467"/>
    </row>
    <row r="11" spans="2:19" s="1" customFormat="1" ht="11.25">
      <c r="B11" s="20" t="str">
        <f>names!$A462</f>
        <v>Pozostałe koszty operacyjne</v>
      </c>
      <c r="C11" s="131" t="s">
        <v>249</v>
      </c>
      <c r="D11" s="131" t="s">
        <v>249</v>
      </c>
      <c r="E11" s="131" t="s">
        <v>249</v>
      </c>
      <c r="F11" s="131">
        <v>-1504</v>
      </c>
      <c r="G11" s="229">
        <v>-1504</v>
      </c>
      <c r="H11" s="131">
        <v>-757</v>
      </c>
      <c r="I11" s="131">
        <v>-350</v>
      </c>
      <c r="J11" s="131">
        <v>-2526</v>
      </c>
      <c r="K11" s="131">
        <v>-2869</v>
      </c>
      <c r="L11" s="229">
        <v>-6089</v>
      </c>
      <c r="M11" s="131">
        <v>-304</v>
      </c>
      <c r="N11" s="131">
        <v>-182</v>
      </c>
      <c r="O11" s="131">
        <v>-103</v>
      </c>
      <c r="P11" s="131">
        <v>-856</v>
      </c>
      <c r="Q11" s="229">
        <v>-1153</v>
      </c>
      <c r="R11" s="577"/>
      <c r="S11" s="467"/>
    </row>
    <row r="12" spans="2:19" s="1" customFormat="1" ht="11.25">
      <c r="B12" s="203" t="str">
        <f>names!A463</f>
        <v>Pozostałe przychody/koszty operacyjne netto</v>
      </c>
      <c r="C12" s="147" t="s">
        <v>249</v>
      </c>
      <c r="D12" s="147" t="s">
        <v>249</v>
      </c>
      <c r="E12" s="147" t="s">
        <v>249</v>
      </c>
      <c r="F12" s="147">
        <v>203</v>
      </c>
      <c r="G12" s="236">
        <v>203</v>
      </c>
      <c r="H12" s="147">
        <v>202</v>
      </c>
      <c r="I12" s="147">
        <v>631</v>
      </c>
      <c r="J12" s="147">
        <v>-442</v>
      </c>
      <c r="K12" s="147">
        <v>7825</v>
      </c>
      <c r="L12" s="236">
        <v>8265</v>
      </c>
      <c r="M12" s="147">
        <v>128</v>
      </c>
      <c r="N12" s="147">
        <v>-28</v>
      </c>
      <c r="O12" s="147">
        <v>-22</v>
      </c>
      <c r="P12" s="147">
        <v>-354</v>
      </c>
      <c r="Q12" s="236">
        <v>-59</v>
      </c>
      <c r="R12" s="577"/>
      <c r="S12" s="467"/>
    </row>
    <row r="13" spans="2:19" s="1" customFormat="1" ht="21.75" customHeight="1">
      <c r="B13" s="94" t="str">
        <f>names!A464</f>
        <v>(Strata)/odwrócenie straty z tytułu utraty wartości należności handlowych (w tym odsetek od należności handlowych)</v>
      </c>
      <c r="C13" s="133" t="s">
        <v>249</v>
      </c>
      <c r="D13" s="133" t="s">
        <v>249</v>
      </c>
      <c r="E13" s="133" t="s">
        <v>249</v>
      </c>
      <c r="F13" s="133">
        <v>-148</v>
      </c>
      <c r="G13" s="230">
        <v>-148</v>
      </c>
      <c r="H13" s="133">
        <v>29</v>
      </c>
      <c r="I13" s="133">
        <v>18</v>
      </c>
      <c r="J13" s="133">
        <v>26</v>
      </c>
      <c r="K13" s="133">
        <v>-12</v>
      </c>
      <c r="L13" s="230">
        <v>61</v>
      </c>
      <c r="M13" s="133">
        <v>-36</v>
      </c>
      <c r="N13" s="133">
        <v>-7</v>
      </c>
      <c r="O13" s="133">
        <v>-75</v>
      </c>
      <c r="P13" s="133">
        <v>-116</v>
      </c>
      <c r="Q13" s="230">
        <v>-234</v>
      </c>
      <c r="R13" s="577"/>
      <c r="S13" s="467"/>
    </row>
    <row r="14" spans="2:19" s="1" customFormat="1" ht="12" thickBot="1">
      <c r="B14" s="394" t="str">
        <f>names!A465</f>
        <v>Udział w wyniku finansowym jednostek wycenianych metodą praw własności</v>
      </c>
      <c r="C14" s="150" t="s">
        <v>249</v>
      </c>
      <c r="D14" s="150" t="s">
        <v>249</v>
      </c>
      <c r="E14" s="150" t="s">
        <v>249</v>
      </c>
      <c r="F14" s="150">
        <v>-10</v>
      </c>
      <c r="G14" s="238">
        <v>-10</v>
      </c>
      <c r="H14" s="150">
        <v>-3</v>
      </c>
      <c r="I14" s="150">
        <v>-92</v>
      </c>
      <c r="J14" s="150">
        <v>-909</v>
      </c>
      <c r="K14" s="150">
        <v>0</v>
      </c>
      <c r="L14" s="238">
        <v>0</v>
      </c>
      <c r="M14" s="150">
        <v>0</v>
      </c>
      <c r="N14" s="150">
        <v>0</v>
      </c>
      <c r="O14" s="150">
        <v>0</v>
      </c>
      <c r="P14" s="150">
        <v>0</v>
      </c>
      <c r="Q14" s="238">
        <v>0</v>
      </c>
      <c r="R14" s="577"/>
      <c r="S14" s="467"/>
    </row>
    <row r="15" spans="2:19" s="1" customFormat="1" ht="23.25" thickBot="1">
      <c r="B15" s="58" t="str">
        <f>names!$A539</f>
        <v>Zysk/(Strata) operacyjna powiększona o amortyzację (EBITDA) przed odpisami aktualizującymi</v>
      </c>
      <c r="C15" s="148" t="s">
        <v>249</v>
      </c>
      <c r="D15" s="148" t="s">
        <v>249</v>
      </c>
      <c r="E15" s="148" t="s">
        <v>249</v>
      </c>
      <c r="F15" s="148">
        <v>6045</v>
      </c>
      <c r="G15" s="202">
        <v>6045</v>
      </c>
      <c r="H15" s="148">
        <v>9390</v>
      </c>
      <c r="I15" s="148">
        <v>7839</v>
      </c>
      <c r="J15" s="148">
        <v>7239</v>
      </c>
      <c r="K15" s="148">
        <v>21317</v>
      </c>
      <c r="L15" s="202">
        <v>45802</v>
      </c>
      <c r="M15" s="148">
        <v>7927</v>
      </c>
      <c r="N15" s="148">
        <v>4178</v>
      </c>
      <c r="O15" s="148">
        <v>3462</v>
      </c>
      <c r="P15" s="148">
        <v>4405</v>
      </c>
      <c r="Q15" s="202">
        <v>20177</v>
      </c>
      <c r="R15" s="577"/>
      <c r="S15" s="467"/>
    </row>
    <row r="16" spans="2:19" s="56" customFormat="1" ht="12" thickBot="1">
      <c r="B16" s="386" t="str">
        <f>names!$A540</f>
        <v>Zysk/(Strata) operacyjna powiększona o amortyzację (EBITDA)</v>
      </c>
      <c r="C16" s="148" t="s">
        <v>249</v>
      </c>
      <c r="D16" s="148" t="s">
        <v>249</v>
      </c>
      <c r="E16" s="148" t="s">
        <v>249</v>
      </c>
      <c r="F16" s="148">
        <v>6001</v>
      </c>
      <c r="G16" s="202">
        <v>6001</v>
      </c>
      <c r="H16" s="148">
        <v>9390</v>
      </c>
      <c r="I16" s="148">
        <v>7827</v>
      </c>
      <c r="J16" s="148">
        <v>6237</v>
      </c>
      <c r="K16" s="148">
        <v>21316</v>
      </c>
      <c r="L16" s="202">
        <v>45783</v>
      </c>
      <c r="M16" s="148">
        <v>7925</v>
      </c>
      <c r="N16" s="148">
        <v>4146</v>
      </c>
      <c r="O16" s="148">
        <v>3462</v>
      </c>
      <c r="P16" s="148">
        <v>4328</v>
      </c>
      <c r="Q16" s="202">
        <v>20066</v>
      </c>
      <c r="R16" s="577"/>
      <c r="S16" s="467"/>
    </row>
    <row r="17" spans="2:19" s="1" customFormat="1" ht="12" thickBot="1">
      <c r="B17" s="58" t="str">
        <f>names!$A541</f>
        <v>Zysk/(Strata) operacyjna (EBIT) przed odpisami aktualizującymi</v>
      </c>
      <c r="C17" s="148" t="s">
        <v>249</v>
      </c>
      <c r="D17" s="148" t="s">
        <v>249</v>
      </c>
      <c r="E17" s="148" t="s">
        <v>249</v>
      </c>
      <c r="F17" s="148">
        <v>5627</v>
      </c>
      <c r="G17" s="202">
        <v>5627</v>
      </c>
      <c r="H17" s="148">
        <v>8746</v>
      </c>
      <c r="I17" s="148">
        <v>7335</v>
      </c>
      <c r="J17" s="148">
        <v>6692</v>
      </c>
      <c r="K17" s="148">
        <v>20797</v>
      </c>
      <c r="L17" s="202">
        <v>43587</v>
      </c>
      <c r="M17" s="148">
        <v>7405</v>
      </c>
      <c r="N17" s="148">
        <v>3643</v>
      </c>
      <c r="O17" s="148">
        <v>2931</v>
      </c>
      <c r="P17" s="148">
        <v>3844</v>
      </c>
      <c r="Q17" s="202">
        <v>18028</v>
      </c>
      <c r="R17" s="577"/>
      <c r="S17" s="467"/>
    </row>
    <row r="18" spans="2:19" s="56" customFormat="1" ht="12" thickBot="1">
      <c r="B18" s="58" t="str">
        <f>names!$A542</f>
        <v>Zysk/(Strata) operacyjna (EBIT)</v>
      </c>
      <c r="C18" s="148" t="s">
        <v>249</v>
      </c>
      <c r="D18" s="148" t="s">
        <v>249</v>
      </c>
      <c r="E18" s="148" t="s">
        <v>249</v>
      </c>
      <c r="F18" s="148">
        <v>5583</v>
      </c>
      <c r="G18" s="202">
        <v>5583</v>
      </c>
      <c r="H18" s="148">
        <v>8746</v>
      </c>
      <c r="I18" s="148">
        <v>7323</v>
      </c>
      <c r="J18" s="148">
        <v>5690</v>
      </c>
      <c r="K18" s="148">
        <v>20796</v>
      </c>
      <c r="L18" s="202">
        <v>43568</v>
      </c>
      <c r="M18" s="148">
        <v>7403</v>
      </c>
      <c r="N18" s="148">
        <v>3611</v>
      </c>
      <c r="O18" s="148">
        <v>2931</v>
      </c>
      <c r="P18" s="148">
        <v>3767</v>
      </c>
      <c r="Q18" s="202">
        <v>17917</v>
      </c>
      <c r="R18" s="577"/>
      <c r="S18" s="467"/>
    </row>
    <row r="19" spans="2:19" s="1" customFormat="1" ht="11.25">
      <c r="B19" s="51" t="str">
        <f>names!A472</f>
        <v>Zwiększenie aktywów trwałych</v>
      </c>
      <c r="C19" s="151" t="s">
        <v>249</v>
      </c>
      <c r="D19" s="151" t="s">
        <v>249</v>
      </c>
      <c r="E19" s="151" t="s">
        <v>249</v>
      </c>
      <c r="F19" s="151">
        <v>1789</v>
      </c>
      <c r="G19" s="239">
        <v>1789</v>
      </c>
      <c r="H19" s="151">
        <v>863</v>
      </c>
      <c r="I19" s="151">
        <v>1205</v>
      </c>
      <c r="J19" s="151">
        <v>614</v>
      </c>
      <c r="K19" s="151">
        <v>2522</v>
      </c>
      <c r="L19" s="239">
        <v>5204</v>
      </c>
      <c r="M19" s="151">
        <v>551</v>
      </c>
      <c r="N19" s="151">
        <v>561</v>
      </c>
      <c r="O19" s="151">
        <v>723</v>
      </c>
      <c r="P19" s="151">
        <v>1300</v>
      </c>
      <c r="Q19" s="239">
        <v>3135</v>
      </c>
      <c r="R19" s="577"/>
      <c r="S19" s="467"/>
    </row>
    <row r="20" spans="2:19" s="56" customFormat="1" ht="11.25">
      <c r="B20" s="94" t="str">
        <f>names!A473</f>
        <v>Sprzedaż produktów (tys. ton)</v>
      </c>
      <c r="C20" s="133" t="s">
        <v>249</v>
      </c>
      <c r="D20" s="133" t="s">
        <v>249</v>
      </c>
      <c r="E20" s="133" t="s">
        <v>249</v>
      </c>
      <c r="F20" s="133">
        <v>191</v>
      </c>
      <c r="G20" s="230">
        <v>191</v>
      </c>
      <c r="H20" s="133">
        <v>30</v>
      </c>
      <c r="I20" s="133">
        <v>32</v>
      </c>
      <c r="J20" s="133">
        <v>36</v>
      </c>
      <c r="K20" s="133">
        <v>52</v>
      </c>
      <c r="L20" s="230">
        <v>150</v>
      </c>
      <c r="M20" s="133">
        <v>53</v>
      </c>
      <c r="N20" s="133">
        <v>45</v>
      </c>
      <c r="O20" s="133">
        <v>61</v>
      </c>
      <c r="P20" s="133">
        <v>59</v>
      </c>
      <c r="Q20" s="230">
        <v>218</v>
      </c>
      <c r="R20" s="577"/>
      <c r="S20" s="467"/>
    </row>
    <row r="21" spans="2:19">
      <c r="B21" s="20"/>
      <c r="R21" s="577"/>
    </row>
    <row r="22" spans="2:19" ht="23.25" customHeight="1">
      <c r="B22" s="20"/>
    </row>
    <row r="23" spans="2:19">
      <c r="B23" s="577"/>
      <c r="C23" s="577"/>
      <c r="D23" s="577"/>
      <c r="E23" s="577"/>
      <c r="F23" s="577"/>
      <c r="G23" s="577"/>
      <c r="H23" s="577"/>
      <c r="I23" s="577"/>
      <c r="J23" s="577"/>
      <c r="K23" s="577"/>
      <c r="L23" s="577"/>
      <c r="M23" s="577"/>
      <c r="N23" s="577"/>
      <c r="O23" s="577"/>
      <c r="P23" s="577"/>
      <c r="Q23" s="577"/>
    </row>
    <row r="24" spans="2:19">
      <c r="C24" s="370"/>
      <c r="H24" s="370"/>
      <c r="M24" s="370"/>
    </row>
  </sheetData>
  <conditionalFormatting sqref="B23:Q23">
    <cfRule type="cellIs" dxfId="45" priority="2" operator="equal">
      <formula>FALSE</formula>
    </cfRule>
  </conditionalFormatting>
  <conditionalFormatting sqref="R2:R21">
    <cfRule type="cellIs" dxfId="44"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tint="-0.34998626667073579"/>
    <pageSetUpPr fitToPage="1"/>
  </sheetPr>
  <dimension ref="B1:BL39"/>
  <sheetViews>
    <sheetView showGridLines="0" view="pageBreakPreview" zoomScaleNormal="100" zoomScaleSheetLayoutView="100" workbookViewId="0">
      <pane xSplit="2" ySplit="4" topLeftCell="AZ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56.28515625" style="16" customWidth="1"/>
    <col min="3" max="6" width="7.5703125" hidden="1" customWidth="1" outlineLevel="1"/>
    <col min="7" max="7" width="7.5703125" customWidth="1" collapsed="1"/>
    <col min="8" max="11" width="7.5703125" hidden="1" customWidth="1" outlineLevel="1"/>
    <col min="12" max="12" width="7.5703125" customWidth="1" collapsed="1"/>
    <col min="13" max="16" width="7.5703125" hidden="1" customWidth="1" outlineLevel="1"/>
    <col min="17" max="17" width="7.5703125" customWidth="1" collapsed="1"/>
    <col min="18" max="21" width="7.5703125" hidden="1" customWidth="1" outlineLevel="1"/>
    <col min="22" max="22" width="7.5703125" customWidth="1" collapsed="1"/>
    <col min="23" max="26" width="7.5703125" hidden="1" customWidth="1" outlineLevel="1"/>
    <col min="27" max="27" width="7.5703125" customWidth="1" collapsed="1"/>
    <col min="28" max="28" width="7.5703125" hidden="1" customWidth="1" outlineLevel="1" collapsed="1"/>
    <col min="29" max="31" width="7.5703125" hidden="1" customWidth="1" outlineLevel="1"/>
    <col min="32" max="32" width="7.5703125" customWidth="1" collapsed="1"/>
    <col min="33" max="36" width="7.5703125" hidden="1" customWidth="1" outlineLevel="1"/>
    <col min="37" max="37" width="7.5703125" customWidth="1" collapsed="1"/>
    <col min="38" max="41" width="7.5703125" hidden="1" customWidth="1" outlineLevel="1"/>
    <col min="42" max="42" width="7.5703125" customWidth="1" collapsed="1"/>
    <col min="43" max="46" width="7.5703125" hidden="1" customWidth="1" outlineLevel="1"/>
    <col min="47" max="47" width="7.5703125" customWidth="1" collapsed="1"/>
    <col min="48" max="51" width="7.5703125" hidden="1" customWidth="1" outlineLevel="1"/>
    <col min="52" max="52" width="7.5703125" customWidth="1" collapsed="1"/>
    <col min="53" max="56" width="7.5703125" hidden="1" customWidth="1" outlineLevel="1"/>
    <col min="57" max="57" width="7.5703125" customWidth="1" collapsed="1"/>
    <col min="58" max="61" width="7.5703125" hidden="1" customWidth="1" outlineLevel="1"/>
    <col min="62" max="62" width="7.5703125" customWidth="1" collapsed="1"/>
  </cols>
  <sheetData>
    <row r="1" spans="2:64">
      <c r="B1" s="872"/>
    </row>
    <row r="2" spans="2:64" ht="15.75">
      <c r="B2" s="397" t="str">
        <f>names!$A548</f>
        <v>Corporate functions</v>
      </c>
      <c r="BK2" s="577"/>
    </row>
    <row r="3" spans="2:64" ht="10.15" customHeight="1">
      <c r="BK3" s="577"/>
    </row>
    <row r="4" spans="2:64" s="24" customFormat="1" ht="33" customHeight="1">
      <c r="B4" s="15" t="str">
        <f>names!$A455</f>
        <v>Wyszczególnienie, 
mln PLN</v>
      </c>
      <c r="C4" s="15" t="str">
        <f>names!$A499</f>
        <v>I kw.
2013 *</v>
      </c>
      <c r="D4" s="15" t="str">
        <f>names!$A500</f>
        <v>II kw.
2013 *</v>
      </c>
      <c r="E4" s="15" t="str">
        <f>names!$A501</f>
        <v>III kw.
2013 *</v>
      </c>
      <c r="F4" s="15" t="str">
        <f>names!$A502</f>
        <v>IV kw.
2013 *</v>
      </c>
      <c r="G4" s="15" t="str">
        <f>names!$A503</f>
        <v>12 m-cy
2013 *</v>
      </c>
      <c r="H4" s="15" t="str">
        <f>names!$A504</f>
        <v>I kw.
2014</v>
      </c>
      <c r="I4" s="15" t="str">
        <f>names!$A505</f>
        <v>II kw.
2014</v>
      </c>
      <c r="J4" s="15" t="str">
        <f>names!$A506</f>
        <v>III kw.
2014</v>
      </c>
      <c r="K4" s="15" t="str">
        <f>names!$A507</f>
        <v>IV kw.
2014</v>
      </c>
      <c r="L4" s="15" t="str">
        <f>names!$A508</f>
        <v>12 m-cy
2014</v>
      </c>
      <c r="M4" s="15" t="str">
        <f>names!$A509</f>
        <v>I kw.
2015</v>
      </c>
      <c r="N4" s="15" t="str">
        <f>names!$A510</f>
        <v>II kw.
2015</v>
      </c>
      <c r="O4" s="15" t="str">
        <f>names!$A511</f>
        <v>III kw.
2015</v>
      </c>
      <c r="P4" s="15" t="str">
        <f>names!$A512</f>
        <v>IV kw.
2015</v>
      </c>
      <c r="Q4" s="15" t="str">
        <f>names!$A513</f>
        <v>12 m-cy
2015</v>
      </c>
      <c r="R4" s="15" t="str">
        <f>names!$A514</f>
        <v>I kw.
2016</v>
      </c>
      <c r="S4" s="15" t="str">
        <f>names!$A515</f>
        <v>II kw.
2016</v>
      </c>
      <c r="T4" s="15" t="str">
        <f>names!$A516</f>
        <v>III kw.
2016</v>
      </c>
      <c r="U4" s="15" t="str">
        <f>names!$A517</f>
        <v>IV kw.
2016</v>
      </c>
      <c r="V4" s="15" t="str">
        <f>names!$A518</f>
        <v>12 m-cy
2016</v>
      </c>
      <c r="W4" s="15" t="str">
        <f>names!$A519</f>
        <v>I kw.
2017</v>
      </c>
      <c r="X4" s="15" t="str">
        <f>names!$A520</f>
        <v>II kw.
2017</v>
      </c>
      <c r="Y4" s="15" t="str">
        <f>names!$A521</f>
        <v>III kw.
2017</v>
      </c>
      <c r="Z4" s="15" t="str">
        <f>names!$A522</f>
        <v>IV kw.
2017</v>
      </c>
      <c r="AA4" s="15" t="str">
        <f>names!$A523</f>
        <v>12 m-cy
2017</v>
      </c>
      <c r="AB4" s="15" t="str">
        <f>names!$A524</f>
        <v>I kw.
2018</v>
      </c>
      <c r="AC4" s="15" t="str">
        <f>names!$A525</f>
        <v>II kw.
2018</v>
      </c>
      <c r="AD4" s="15" t="str">
        <f>names!$A526</f>
        <v>III kw.
2018</v>
      </c>
      <c r="AE4" s="15" t="str">
        <f>names!$A527</f>
        <v>IV kw.
2018 ***</v>
      </c>
      <c r="AF4" s="15" t="str">
        <f>names!$A553</f>
        <v>12 m-cy
2018</v>
      </c>
      <c r="AG4" s="15" t="str">
        <f>names!$A531</f>
        <v>I kw.
2019</v>
      </c>
      <c r="AH4" s="15" t="str">
        <f>names!$A532</f>
        <v>II kw.
2019</v>
      </c>
      <c r="AI4" s="15" t="str">
        <f>names!$A533</f>
        <v>III kw.
2019</v>
      </c>
      <c r="AJ4" s="15" t="str">
        <f>names!$A534</f>
        <v>IV kw.
2019</v>
      </c>
      <c r="AK4" s="15" t="str">
        <f>names!$A535</f>
        <v>12 m-cy
2019</v>
      </c>
      <c r="AL4" s="15" t="str">
        <f>names!A149</f>
        <v>I kw. 
2020</v>
      </c>
      <c r="AM4" s="15" t="str">
        <f>names!$A404</f>
        <v>II kw.
2020</v>
      </c>
      <c r="AN4" s="15" t="str">
        <f>names!$A406</f>
        <v>III kw.
2020</v>
      </c>
      <c r="AO4" s="15" t="str">
        <f>names!$A408</f>
        <v>IV kw.
2020</v>
      </c>
      <c r="AP4" s="15" t="str">
        <f>names!$A153</f>
        <v>12 m-cy 2020</v>
      </c>
      <c r="AQ4" s="15" t="str">
        <f>names!$A154</f>
        <v>I kw. 
2021</v>
      </c>
      <c r="AR4" s="15" t="str">
        <f>names!$A155</f>
        <v>II kw. 
2021</v>
      </c>
      <c r="AS4" s="15" t="str">
        <f>names!$A156</f>
        <v>III kw. 
2021</v>
      </c>
      <c r="AT4" s="15" t="str">
        <f>names!$A157</f>
        <v>IV kw. 
2021</v>
      </c>
      <c r="AU4" s="15" t="str">
        <f>names!A158</f>
        <v>12 m-cy 2021</v>
      </c>
      <c r="AV4" s="15" t="str">
        <f>names!$A159</f>
        <v>I kw. 
2022</v>
      </c>
      <c r="AW4" s="15" t="str">
        <f>names!$A160</f>
        <v>II kw. 
2022</v>
      </c>
      <c r="AX4" s="15" t="str">
        <f>names!$A161</f>
        <v>III kw. 
2022</v>
      </c>
      <c r="AY4" s="15" t="str">
        <f>names!$A162</f>
        <v>IV kw. 
2022</v>
      </c>
      <c r="AZ4" s="15" t="str">
        <f>names!$A163</f>
        <v>12 m-cy 2022</v>
      </c>
      <c r="BA4" s="15" t="str">
        <f>names!$A164</f>
        <v>I kw. 
2023</v>
      </c>
      <c r="BB4" s="15" t="str">
        <f>names!$A165</f>
        <v>II kw. 
2023</v>
      </c>
      <c r="BC4" s="15" t="str">
        <f>names!$A166</f>
        <v>III kw. 
2023</v>
      </c>
      <c r="BD4" s="15" t="str">
        <f>names!$A167</f>
        <v>IV kw. 
2023</v>
      </c>
      <c r="BE4" s="15" t="str">
        <f>names!$A168</f>
        <v>12 m-cy 2023</v>
      </c>
      <c r="BF4" s="15" t="str">
        <f>names!$A169</f>
        <v>I kw. 
2024</v>
      </c>
      <c r="BG4" s="15" t="str">
        <f>names!$A170</f>
        <v>II kw. 
2024</v>
      </c>
      <c r="BH4" s="15" t="str">
        <f>names!$A171</f>
        <v>III kw. 
2024</v>
      </c>
      <c r="BI4" s="15" t="str">
        <f>names!$A172</f>
        <v>IV kw. 
2024</v>
      </c>
      <c r="BJ4" s="15" t="str">
        <f>names!$A173</f>
        <v>12 m-cy 2024</v>
      </c>
      <c r="BK4" s="577"/>
    </row>
    <row r="5" spans="2:64" s="30" customFormat="1" ht="7.15" customHeight="1">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577"/>
    </row>
    <row r="6" spans="2:64" s="1" customFormat="1" ht="11.25">
      <c r="B6" s="473" t="str">
        <f>names!$A457</f>
        <v>Przychody ze sprzedaży</v>
      </c>
      <c r="C6" s="152">
        <v>76</v>
      </c>
      <c r="D6" s="152">
        <v>81</v>
      </c>
      <c r="E6" s="152">
        <v>73</v>
      </c>
      <c r="F6" s="152">
        <v>84</v>
      </c>
      <c r="G6" s="242">
        <v>314</v>
      </c>
      <c r="H6" s="152">
        <v>81</v>
      </c>
      <c r="I6" s="152">
        <v>77</v>
      </c>
      <c r="J6" s="152">
        <v>80</v>
      </c>
      <c r="K6" s="152">
        <v>73</v>
      </c>
      <c r="L6" s="242">
        <v>311</v>
      </c>
      <c r="M6" s="152">
        <v>67</v>
      </c>
      <c r="N6" s="152">
        <v>72</v>
      </c>
      <c r="O6" s="152">
        <v>77</v>
      </c>
      <c r="P6" s="152">
        <v>72</v>
      </c>
      <c r="Q6" s="242">
        <v>288</v>
      </c>
      <c r="R6" s="152">
        <v>84</v>
      </c>
      <c r="S6" s="152">
        <v>88</v>
      </c>
      <c r="T6" s="152">
        <v>91</v>
      </c>
      <c r="U6" s="152">
        <v>88</v>
      </c>
      <c r="V6" s="242">
        <v>351</v>
      </c>
      <c r="W6" s="152">
        <v>90</v>
      </c>
      <c r="X6" s="152">
        <v>97</v>
      </c>
      <c r="Y6" s="152">
        <v>99</v>
      </c>
      <c r="Z6" s="152">
        <v>130</v>
      </c>
      <c r="AA6" s="242">
        <v>416</v>
      </c>
      <c r="AB6" s="152">
        <v>124</v>
      </c>
      <c r="AC6" s="152">
        <v>129</v>
      </c>
      <c r="AD6" s="152">
        <v>133</v>
      </c>
      <c r="AE6" s="152">
        <v>144</v>
      </c>
      <c r="AF6" s="242">
        <v>530</v>
      </c>
      <c r="AG6" s="152">
        <v>120</v>
      </c>
      <c r="AH6" s="152">
        <v>130</v>
      </c>
      <c r="AI6" s="152">
        <v>126</v>
      </c>
      <c r="AJ6" s="152">
        <v>149</v>
      </c>
      <c r="AK6" s="242">
        <v>525</v>
      </c>
      <c r="AL6" s="152">
        <v>135</v>
      </c>
      <c r="AM6" s="152">
        <v>138</v>
      </c>
      <c r="AN6" s="152">
        <v>144</v>
      </c>
      <c r="AO6" s="152">
        <v>176</v>
      </c>
      <c r="AP6" s="242">
        <v>593</v>
      </c>
      <c r="AQ6" s="152">
        <v>157</v>
      </c>
      <c r="AR6" s="152">
        <v>278</v>
      </c>
      <c r="AS6" s="152">
        <v>258</v>
      </c>
      <c r="AT6" s="152">
        <v>331</v>
      </c>
      <c r="AU6" s="242">
        <v>1024</v>
      </c>
      <c r="AV6" s="152">
        <v>281</v>
      </c>
      <c r="AW6" s="152">
        <v>323</v>
      </c>
      <c r="AX6" s="152">
        <v>360</v>
      </c>
      <c r="AY6" s="152">
        <v>489</v>
      </c>
      <c r="AZ6" s="242">
        <v>1453</v>
      </c>
      <c r="BA6" s="152">
        <v>410</v>
      </c>
      <c r="BB6" s="152">
        <v>451</v>
      </c>
      <c r="BC6" s="152">
        <v>452</v>
      </c>
      <c r="BD6" s="152">
        <v>645</v>
      </c>
      <c r="BE6" s="242">
        <v>1958</v>
      </c>
      <c r="BF6" s="152">
        <v>411</v>
      </c>
      <c r="BG6" s="152">
        <v>423</v>
      </c>
      <c r="BH6" s="152">
        <v>393</v>
      </c>
      <c r="BI6" s="152">
        <v>498</v>
      </c>
      <c r="BJ6" s="242">
        <v>1725</v>
      </c>
      <c r="BK6" s="577"/>
      <c r="BL6" s="467"/>
    </row>
    <row r="7" spans="2:64" s="1" customFormat="1" ht="11.25">
      <c r="B7" s="1" t="str">
        <f>names!$A458</f>
        <v>Sprzedaż zewnętrzna</v>
      </c>
      <c r="C7" s="131">
        <v>19</v>
      </c>
      <c r="D7" s="131">
        <v>16</v>
      </c>
      <c r="E7" s="131">
        <v>14</v>
      </c>
      <c r="F7" s="131">
        <v>22</v>
      </c>
      <c r="G7" s="229">
        <v>71</v>
      </c>
      <c r="H7" s="131">
        <v>26</v>
      </c>
      <c r="I7" s="131">
        <v>18</v>
      </c>
      <c r="J7" s="131">
        <v>18</v>
      </c>
      <c r="K7" s="131">
        <v>10</v>
      </c>
      <c r="L7" s="229">
        <v>72</v>
      </c>
      <c r="M7" s="131">
        <v>23</v>
      </c>
      <c r="N7" s="131">
        <v>19</v>
      </c>
      <c r="O7" s="131">
        <v>26</v>
      </c>
      <c r="P7" s="131">
        <v>14</v>
      </c>
      <c r="Q7" s="229">
        <v>82</v>
      </c>
      <c r="R7" s="131">
        <v>19</v>
      </c>
      <c r="S7" s="131">
        <v>15</v>
      </c>
      <c r="T7" s="131">
        <v>15</v>
      </c>
      <c r="U7" s="131">
        <v>19</v>
      </c>
      <c r="V7" s="229">
        <v>68</v>
      </c>
      <c r="W7" s="131">
        <v>16</v>
      </c>
      <c r="X7" s="131">
        <v>15</v>
      </c>
      <c r="Y7" s="131">
        <v>15</v>
      </c>
      <c r="Z7" s="131">
        <v>28</v>
      </c>
      <c r="AA7" s="229">
        <v>74</v>
      </c>
      <c r="AB7" s="131">
        <v>16</v>
      </c>
      <c r="AC7" s="131">
        <v>23</v>
      </c>
      <c r="AD7" s="131">
        <v>25</v>
      </c>
      <c r="AE7" s="131">
        <v>35</v>
      </c>
      <c r="AF7" s="229">
        <v>99</v>
      </c>
      <c r="AG7" s="131">
        <v>21</v>
      </c>
      <c r="AH7" s="131">
        <v>17</v>
      </c>
      <c r="AI7" s="131">
        <v>19</v>
      </c>
      <c r="AJ7" s="131">
        <v>24</v>
      </c>
      <c r="AK7" s="229">
        <v>81</v>
      </c>
      <c r="AL7" s="131">
        <v>19</v>
      </c>
      <c r="AM7" s="131">
        <v>21</v>
      </c>
      <c r="AN7" s="131">
        <v>19</v>
      </c>
      <c r="AO7" s="131">
        <v>29</v>
      </c>
      <c r="AP7" s="229">
        <v>88</v>
      </c>
      <c r="AQ7" s="131">
        <v>24</v>
      </c>
      <c r="AR7" s="131">
        <v>135</v>
      </c>
      <c r="AS7" s="131">
        <v>117</v>
      </c>
      <c r="AT7" s="131">
        <v>168</v>
      </c>
      <c r="AU7" s="229">
        <v>444</v>
      </c>
      <c r="AV7" s="131">
        <v>121</v>
      </c>
      <c r="AW7" s="131">
        <v>147</v>
      </c>
      <c r="AX7" s="131">
        <v>141</v>
      </c>
      <c r="AY7" s="131">
        <v>225</v>
      </c>
      <c r="AZ7" s="229">
        <v>634</v>
      </c>
      <c r="BA7" s="131">
        <v>171</v>
      </c>
      <c r="BB7" s="131">
        <v>195</v>
      </c>
      <c r="BC7" s="131">
        <v>195</v>
      </c>
      <c r="BD7" s="131">
        <v>355</v>
      </c>
      <c r="BE7" s="229">
        <v>916</v>
      </c>
      <c r="BF7" s="131">
        <v>158</v>
      </c>
      <c r="BG7" s="131">
        <v>162</v>
      </c>
      <c r="BH7" s="131">
        <v>152</v>
      </c>
      <c r="BI7" s="131">
        <v>231</v>
      </c>
      <c r="BJ7" s="229">
        <v>703</v>
      </c>
      <c r="BK7" s="577"/>
      <c r="BL7" s="467"/>
    </row>
    <row r="8" spans="2:64" s="1" customFormat="1" ht="11.25">
      <c r="B8" s="1" t="str">
        <f>names!$A459</f>
        <v>Sprzedaż między segmentami</v>
      </c>
      <c r="C8" s="131">
        <v>57</v>
      </c>
      <c r="D8" s="131">
        <v>65</v>
      </c>
      <c r="E8" s="131">
        <v>59</v>
      </c>
      <c r="F8" s="131">
        <v>62</v>
      </c>
      <c r="G8" s="229">
        <v>243</v>
      </c>
      <c r="H8" s="131">
        <v>55</v>
      </c>
      <c r="I8" s="131">
        <v>59</v>
      </c>
      <c r="J8" s="131">
        <v>62</v>
      </c>
      <c r="K8" s="131">
        <v>63</v>
      </c>
      <c r="L8" s="229">
        <v>239</v>
      </c>
      <c r="M8" s="131">
        <v>44</v>
      </c>
      <c r="N8" s="131">
        <v>53</v>
      </c>
      <c r="O8" s="131">
        <v>51</v>
      </c>
      <c r="P8" s="131">
        <v>58</v>
      </c>
      <c r="Q8" s="229">
        <v>206</v>
      </c>
      <c r="R8" s="131">
        <v>65</v>
      </c>
      <c r="S8" s="131">
        <v>73</v>
      </c>
      <c r="T8" s="131">
        <v>76</v>
      </c>
      <c r="U8" s="131">
        <v>69</v>
      </c>
      <c r="V8" s="229">
        <v>283</v>
      </c>
      <c r="W8" s="131">
        <v>74</v>
      </c>
      <c r="X8" s="131">
        <v>82</v>
      </c>
      <c r="Y8" s="131">
        <v>84</v>
      </c>
      <c r="Z8" s="131">
        <v>102</v>
      </c>
      <c r="AA8" s="229">
        <v>342</v>
      </c>
      <c r="AB8" s="131">
        <v>108</v>
      </c>
      <c r="AC8" s="131">
        <v>106</v>
      </c>
      <c r="AD8" s="131">
        <v>108</v>
      </c>
      <c r="AE8" s="131">
        <v>109</v>
      </c>
      <c r="AF8" s="229">
        <v>431</v>
      </c>
      <c r="AG8" s="131">
        <v>99</v>
      </c>
      <c r="AH8" s="131">
        <v>113</v>
      </c>
      <c r="AI8" s="131">
        <v>107</v>
      </c>
      <c r="AJ8" s="131">
        <v>125</v>
      </c>
      <c r="AK8" s="229">
        <v>444</v>
      </c>
      <c r="AL8" s="131">
        <v>116</v>
      </c>
      <c r="AM8" s="131">
        <v>117</v>
      </c>
      <c r="AN8" s="131">
        <v>125</v>
      </c>
      <c r="AO8" s="131">
        <v>147</v>
      </c>
      <c r="AP8" s="229">
        <v>505</v>
      </c>
      <c r="AQ8" s="131">
        <v>133</v>
      </c>
      <c r="AR8" s="131">
        <v>143</v>
      </c>
      <c r="AS8" s="131">
        <v>141</v>
      </c>
      <c r="AT8" s="131">
        <v>163</v>
      </c>
      <c r="AU8" s="229">
        <v>580</v>
      </c>
      <c r="AV8" s="131">
        <v>160</v>
      </c>
      <c r="AW8" s="131">
        <v>176</v>
      </c>
      <c r="AX8" s="131">
        <v>219</v>
      </c>
      <c r="AY8" s="131">
        <v>264</v>
      </c>
      <c r="AZ8" s="229">
        <v>819</v>
      </c>
      <c r="BA8" s="131">
        <v>239</v>
      </c>
      <c r="BB8" s="131">
        <v>256</v>
      </c>
      <c r="BC8" s="131">
        <v>257</v>
      </c>
      <c r="BD8" s="131">
        <v>290</v>
      </c>
      <c r="BE8" s="229">
        <v>1042</v>
      </c>
      <c r="BF8" s="131">
        <v>253</v>
      </c>
      <c r="BG8" s="131">
        <v>261</v>
      </c>
      <c r="BH8" s="131">
        <v>241</v>
      </c>
      <c r="BI8" s="131">
        <v>267</v>
      </c>
      <c r="BJ8" s="229">
        <v>1022</v>
      </c>
      <c r="BK8" s="577"/>
      <c r="BL8" s="467"/>
    </row>
    <row r="9" spans="2:64" s="1" customFormat="1" ht="11.25">
      <c r="B9" s="387" t="str">
        <f>names!$A460</f>
        <v>Koszty operacyjne ogółem</v>
      </c>
      <c r="C9" s="145">
        <v>-248</v>
      </c>
      <c r="D9" s="145">
        <v>-277</v>
      </c>
      <c r="E9" s="145">
        <v>-251</v>
      </c>
      <c r="F9" s="145">
        <f>-301-1</f>
        <v>-302</v>
      </c>
      <c r="G9" s="237">
        <v>-1078</v>
      </c>
      <c r="H9" s="145">
        <v>-244</v>
      </c>
      <c r="I9" s="145">
        <v>-263</v>
      </c>
      <c r="J9" s="145">
        <v>-240</v>
      </c>
      <c r="K9" s="145">
        <v>-260</v>
      </c>
      <c r="L9" s="237">
        <v>-1007</v>
      </c>
      <c r="M9" s="145">
        <v>-219</v>
      </c>
      <c r="N9" s="145">
        <v>-251</v>
      </c>
      <c r="O9" s="145">
        <v>-220</v>
      </c>
      <c r="P9" s="145">
        <v>-281</v>
      </c>
      <c r="Q9" s="237">
        <v>-971</v>
      </c>
      <c r="R9" s="145">
        <v>-258</v>
      </c>
      <c r="S9" s="145">
        <v>-277</v>
      </c>
      <c r="T9" s="145">
        <v>-259</v>
      </c>
      <c r="U9" s="145">
        <v>-278</v>
      </c>
      <c r="V9" s="237">
        <v>-1072</v>
      </c>
      <c r="W9" s="145">
        <v>-254</v>
      </c>
      <c r="X9" s="145">
        <v>-267</v>
      </c>
      <c r="Y9" s="145">
        <v>-266</v>
      </c>
      <c r="Z9" s="145">
        <v>-345</v>
      </c>
      <c r="AA9" s="237">
        <v>-1132</v>
      </c>
      <c r="AB9" s="145">
        <v>-291</v>
      </c>
      <c r="AC9" s="145">
        <v>-331</v>
      </c>
      <c r="AD9" s="145">
        <v>-325</v>
      </c>
      <c r="AE9" s="145">
        <v>-380</v>
      </c>
      <c r="AF9" s="237">
        <v>-1327</v>
      </c>
      <c r="AG9" s="145">
        <v>-333</v>
      </c>
      <c r="AH9" s="145">
        <v>-361</v>
      </c>
      <c r="AI9" s="145">
        <v>-375</v>
      </c>
      <c r="AJ9" s="145">
        <v>-453</v>
      </c>
      <c r="AK9" s="237">
        <v>-1522</v>
      </c>
      <c r="AL9" s="145">
        <v>-432</v>
      </c>
      <c r="AM9" s="145">
        <v>-414</v>
      </c>
      <c r="AN9" s="145">
        <v>-377</v>
      </c>
      <c r="AO9" s="145">
        <v>-489</v>
      </c>
      <c r="AP9" s="237">
        <v>-1712</v>
      </c>
      <c r="AQ9" s="145">
        <v>-480</v>
      </c>
      <c r="AR9" s="145">
        <v>-556</v>
      </c>
      <c r="AS9" s="145">
        <v>-497</v>
      </c>
      <c r="AT9" s="145">
        <v>-638</v>
      </c>
      <c r="AU9" s="237">
        <v>-2171</v>
      </c>
      <c r="AV9" s="145">
        <v>-628</v>
      </c>
      <c r="AW9" s="145">
        <v>-670</v>
      </c>
      <c r="AX9" s="145">
        <v>-715</v>
      </c>
      <c r="AY9" s="145">
        <v>-971</v>
      </c>
      <c r="AZ9" s="237">
        <v>-2984</v>
      </c>
      <c r="BA9" s="145">
        <v>-870</v>
      </c>
      <c r="BB9" s="145">
        <v>-921</v>
      </c>
      <c r="BC9" s="145">
        <v>-917</v>
      </c>
      <c r="BD9" s="145">
        <v>-1102</v>
      </c>
      <c r="BE9" s="237">
        <v>-3810</v>
      </c>
      <c r="BF9" s="145">
        <v>-993</v>
      </c>
      <c r="BG9" s="145">
        <v>-961</v>
      </c>
      <c r="BH9" s="145">
        <v>-878</v>
      </c>
      <c r="BI9" s="145">
        <v>-1079</v>
      </c>
      <c r="BJ9" s="237">
        <v>-3911</v>
      </c>
      <c r="BK9" s="577"/>
      <c r="BL9" s="467"/>
    </row>
    <row r="10" spans="2:64" s="1" customFormat="1" ht="11.25">
      <c r="B10" s="46" t="str">
        <f>names!$A461</f>
        <v>Pozostałe przychody operacyjne</v>
      </c>
      <c r="C10" s="131">
        <v>15</v>
      </c>
      <c r="D10" s="131">
        <v>78</v>
      </c>
      <c r="E10" s="131">
        <v>76</v>
      </c>
      <c r="F10" s="131">
        <f>42-1</f>
        <v>41</v>
      </c>
      <c r="G10" s="229">
        <v>210</v>
      </c>
      <c r="H10" s="131">
        <v>10</v>
      </c>
      <c r="I10" s="131">
        <v>55</v>
      </c>
      <c r="J10" s="131">
        <v>12</v>
      </c>
      <c r="K10" s="131">
        <v>35</v>
      </c>
      <c r="L10" s="229">
        <v>112</v>
      </c>
      <c r="M10" s="131">
        <v>7</v>
      </c>
      <c r="N10" s="131">
        <v>24</v>
      </c>
      <c r="O10" s="131">
        <v>9</v>
      </c>
      <c r="P10" s="131">
        <v>51</v>
      </c>
      <c r="Q10" s="229">
        <v>91</v>
      </c>
      <c r="R10" s="131">
        <v>21</v>
      </c>
      <c r="S10" s="131">
        <v>6</v>
      </c>
      <c r="T10" s="131">
        <v>7</v>
      </c>
      <c r="U10" s="131">
        <v>19</v>
      </c>
      <c r="V10" s="229">
        <v>53</v>
      </c>
      <c r="W10" s="131">
        <v>9</v>
      </c>
      <c r="X10" s="131">
        <v>14</v>
      </c>
      <c r="Y10" s="131">
        <v>12</v>
      </c>
      <c r="Z10" s="131">
        <v>51</v>
      </c>
      <c r="AA10" s="229">
        <v>86</v>
      </c>
      <c r="AB10" s="131">
        <v>41</v>
      </c>
      <c r="AC10" s="131">
        <v>32</v>
      </c>
      <c r="AD10" s="131">
        <v>23</v>
      </c>
      <c r="AE10" s="131">
        <v>115</v>
      </c>
      <c r="AF10" s="229">
        <v>172</v>
      </c>
      <c r="AG10" s="131">
        <v>3</v>
      </c>
      <c r="AH10" s="131">
        <v>8</v>
      </c>
      <c r="AI10" s="131">
        <v>9</v>
      </c>
      <c r="AJ10" s="131">
        <v>76</v>
      </c>
      <c r="AK10" s="229">
        <v>96</v>
      </c>
      <c r="AL10" s="131">
        <v>53</v>
      </c>
      <c r="AM10" s="131">
        <v>10</v>
      </c>
      <c r="AN10" s="131">
        <v>1</v>
      </c>
      <c r="AO10" s="131">
        <v>42</v>
      </c>
      <c r="AP10" s="229">
        <v>106</v>
      </c>
      <c r="AQ10" s="131">
        <v>1</v>
      </c>
      <c r="AR10" s="131">
        <v>10</v>
      </c>
      <c r="AS10" s="131">
        <v>194</v>
      </c>
      <c r="AT10" s="131">
        <v>80</v>
      </c>
      <c r="AU10" s="229">
        <v>285</v>
      </c>
      <c r="AV10" s="131">
        <v>12</v>
      </c>
      <c r="AW10" s="131">
        <v>26</v>
      </c>
      <c r="AX10" s="131">
        <v>8554</v>
      </c>
      <c r="AY10" s="131">
        <v>6841</v>
      </c>
      <c r="AZ10" s="229">
        <v>15433</v>
      </c>
      <c r="BA10" s="131">
        <v>16</v>
      </c>
      <c r="BB10" s="131">
        <v>15</v>
      </c>
      <c r="BC10" s="131">
        <v>16</v>
      </c>
      <c r="BD10" s="131">
        <v>98</v>
      </c>
      <c r="BE10" s="229">
        <v>169</v>
      </c>
      <c r="BF10" s="131">
        <v>14</v>
      </c>
      <c r="BG10" s="131">
        <v>12</v>
      </c>
      <c r="BH10" s="131">
        <v>8</v>
      </c>
      <c r="BI10" s="131">
        <v>114</v>
      </c>
      <c r="BJ10" s="229">
        <v>148</v>
      </c>
      <c r="BK10" s="577"/>
      <c r="BL10" s="467"/>
    </row>
    <row r="11" spans="2:64" s="26" customFormat="1" ht="11.25">
      <c r="B11" s="606" t="str">
        <f>names!A549</f>
        <v>zysk z tytułu okazyjnego nabycia Grupy Kapitałowej LOTOS i PGNIG</v>
      </c>
      <c r="C11" s="132"/>
      <c r="D11" s="132"/>
      <c r="E11" s="132"/>
      <c r="F11" s="132"/>
      <c r="G11" s="231">
        <v>0</v>
      </c>
      <c r="H11" s="132"/>
      <c r="I11" s="132"/>
      <c r="J11" s="132"/>
      <c r="K11" s="132"/>
      <c r="L11" s="231">
        <v>0</v>
      </c>
      <c r="M11" s="132"/>
      <c r="N11" s="132"/>
      <c r="O11" s="132"/>
      <c r="P11" s="132"/>
      <c r="Q11" s="231">
        <v>0</v>
      </c>
      <c r="R11" s="132"/>
      <c r="S11" s="132"/>
      <c r="T11" s="132"/>
      <c r="U11" s="132"/>
      <c r="V11" s="231">
        <v>0</v>
      </c>
      <c r="W11" s="132"/>
      <c r="X11" s="132"/>
      <c r="Y11" s="132"/>
      <c r="Z11" s="132"/>
      <c r="AA11" s="231">
        <v>0</v>
      </c>
      <c r="AB11" s="132"/>
      <c r="AC11" s="132"/>
      <c r="AD11" s="132"/>
      <c r="AE11" s="132"/>
      <c r="AF11" s="231">
        <v>0</v>
      </c>
      <c r="AG11" s="132">
        <v>0</v>
      </c>
      <c r="AH11" s="132">
        <v>0</v>
      </c>
      <c r="AI11" s="132">
        <v>0</v>
      </c>
      <c r="AJ11" s="132">
        <v>0</v>
      </c>
      <c r="AK11" s="231">
        <v>0</v>
      </c>
      <c r="AL11" s="132">
        <v>0</v>
      </c>
      <c r="AM11" s="132">
        <v>0</v>
      </c>
      <c r="AN11" s="132">
        <v>0</v>
      </c>
      <c r="AO11" s="132">
        <v>0</v>
      </c>
      <c r="AP11" s="231">
        <v>0</v>
      </c>
      <c r="AQ11" s="132">
        <v>0</v>
      </c>
      <c r="AR11" s="132">
        <v>0</v>
      </c>
      <c r="AS11" s="132">
        <v>0</v>
      </c>
      <c r="AT11" s="132">
        <v>0</v>
      </c>
      <c r="AU11" s="231">
        <v>0</v>
      </c>
      <c r="AV11" s="132">
        <v>0</v>
      </c>
      <c r="AW11" s="132">
        <v>0</v>
      </c>
      <c r="AX11" s="132">
        <v>8546</v>
      </c>
      <c r="AY11" s="132">
        <v>6641</v>
      </c>
      <c r="AZ11" s="231">
        <v>15187</v>
      </c>
      <c r="BA11" s="132">
        <v>0</v>
      </c>
      <c r="BB11" s="132">
        <v>0</v>
      </c>
      <c r="BC11" s="132">
        <v>0</v>
      </c>
      <c r="BD11" s="132">
        <v>97</v>
      </c>
      <c r="BE11" s="231">
        <v>97</v>
      </c>
      <c r="BF11" s="132">
        <v>0</v>
      </c>
      <c r="BG11" s="132">
        <v>0</v>
      </c>
      <c r="BH11" s="132">
        <v>0</v>
      </c>
      <c r="BI11" s="132">
        <v>0</v>
      </c>
      <c r="BJ11" s="231">
        <v>0</v>
      </c>
      <c r="BK11" s="577"/>
      <c r="BL11" s="467"/>
    </row>
    <row r="12" spans="2:64" s="1" customFormat="1" ht="11.25">
      <c r="B12" s="388" t="str">
        <f>names!$A462</f>
        <v>Pozostałe koszty operacyjne</v>
      </c>
      <c r="C12" s="151">
        <v>-11</v>
      </c>
      <c r="D12" s="151">
        <v>-56</v>
      </c>
      <c r="E12" s="151">
        <v>-26</v>
      </c>
      <c r="F12" s="151">
        <v>-30</v>
      </c>
      <c r="G12" s="239">
        <v>-123</v>
      </c>
      <c r="H12" s="151">
        <v>-7</v>
      </c>
      <c r="I12" s="151">
        <v>-37</v>
      </c>
      <c r="J12" s="151">
        <v>-17</v>
      </c>
      <c r="K12" s="151">
        <v>-25</v>
      </c>
      <c r="L12" s="239">
        <v>-86</v>
      </c>
      <c r="M12" s="151">
        <v>-11</v>
      </c>
      <c r="N12" s="151">
        <v>-38</v>
      </c>
      <c r="O12" s="151">
        <v>-33</v>
      </c>
      <c r="P12" s="151">
        <v>-37</v>
      </c>
      <c r="Q12" s="239">
        <v>-119</v>
      </c>
      <c r="R12" s="151">
        <v>-16</v>
      </c>
      <c r="S12" s="151">
        <v>-22</v>
      </c>
      <c r="T12" s="151">
        <v>-10</v>
      </c>
      <c r="U12" s="151">
        <v>-128</v>
      </c>
      <c r="V12" s="239">
        <v>-176</v>
      </c>
      <c r="W12" s="151">
        <v>-20</v>
      </c>
      <c r="X12" s="151">
        <v>-22</v>
      </c>
      <c r="Y12" s="151">
        <v>-7</v>
      </c>
      <c r="Z12" s="151">
        <v>-47</v>
      </c>
      <c r="AA12" s="239">
        <v>-96</v>
      </c>
      <c r="AB12" s="151">
        <v>-47</v>
      </c>
      <c r="AC12" s="151">
        <v>-70</v>
      </c>
      <c r="AD12" s="151">
        <v>-30</v>
      </c>
      <c r="AE12" s="151">
        <v>-120</v>
      </c>
      <c r="AF12" s="239">
        <v>-228</v>
      </c>
      <c r="AG12" s="151">
        <v>-22</v>
      </c>
      <c r="AH12" s="151">
        <v>-15</v>
      </c>
      <c r="AI12" s="151">
        <v>-28</v>
      </c>
      <c r="AJ12" s="151">
        <v>-20</v>
      </c>
      <c r="AK12" s="239">
        <v>-85</v>
      </c>
      <c r="AL12" s="151">
        <v>-30</v>
      </c>
      <c r="AM12" s="151">
        <v>-102</v>
      </c>
      <c r="AN12" s="151">
        <v>-80</v>
      </c>
      <c r="AO12" s="151">
        <v>-77</v>
      </c>
      <c r="AP12" s="239">
        <v>-289</v>
      </c>
      <c r="AQ12" s="151">
        <v>-28</v>
      </c>
      <c r="AR12" s="151">
        <v>-38</v>
      </c>
      <c r="AS12" s="151">
        <v>-56</v>
      </c>
      <c r="AT12" s="151">
        <v>-31</v>
      </c>
      <c r="AU12" s="239">
        <v>-153</v>
      </c>
      <c r="AV12" s="151">
        <v>-68</v>
      </c>
      <c r="AW12" s="151">
        <v>-53</v>
      </c>
      <c r="AX12" s="151">
        <v>-55</v>
      </c>
      <c r="AY12" s="151">
        <v>-224</v>
      </c>
      <c r="AZ12" s="239">
        <v>-400</v>
      </c>
      <c r="BA12" s="151">
        <v>-37</v>
      </c>
      <c r="BB12" s="151">
        <v>-84</v>
      </c>
      <c r="BC12" s="151">
        <v>-52</v>
      </c>
      <c r="BD12" s="151">
        <v>-133</v>
      </c>
      <c r="BE12" s="239">
        <v>-306</v>
      </c>
      <c r="BF12" s="151">
        <v>-179</v>
      </c>
      <c r="BG12" s="151">
        <v>-26</v>
      </c>
      <c r="BH12" s="151">
        <v>-51</v>
      </c>
      <c r="BI12" s="151">
        <v>-48</v>
      </c>
      <c r="BJ12" s="239">
        <v>-291</v>
      </c>
      <c r="BK12" s="577"/>
      <c r="BL12" s="467"/>
    </row>
    <row r="13" spans="2:64" s="1" customFormat="1" ht="11.25">
      <c r="B13" s="46" t="str">
        <f>names!$A463</f>
        <v>Pozostałe przychody/koszty operacyjne netto</v>
      </c>
      <c r="C13" s="131">
        <v>4</v>
      </c>
      <c r="D13" s="131">
        <v>22</v>
      </c>
      <c r="E13" s="131">
        <v>50</v>
      </c>
      <c r="F13" s="131">
        <f>12-1</f>
        <v>11</v>
      </c>
      <c r="G13" s="229">
        <v>87</v>
      </c>
      <c r="H13" s="131">
        <v>3</v>
      </c>
      <c r="I13" s="131">
        <v>18</v>
      </c>
      <c r="J13" s="131">
        <v>-5</v>
      </c>
      <c r="K13" s="131">
        <v>10</v>
      </c>
      <c r="L13" s="229">
        <v>26</v>
      </c>
      <c r="M13" s="131">
        <v>-4</v>
      </c>
      <c r="N13" s="131">
        <v>-14</v>
      </c>
      <c r="O13" s="131">
        <v>-24</v>
      </c>
      <c r="P13" s="131">
        <v>14</v>
      </c>
      <c r="Q13" s="229">
        <v>-28</v>
      </c>
      <c r="R13" s="131">
        <v>5</v>
      </c>
      <c r="S13" s="131">
        <v>-16</v>
      </c>
      <c r="T13" s="131">
        <v>-3</v>
      </c>
      <c r="U13" s="131">
        <v>-109</v>
      </c>
      <c r="V13" s="229">
        <v>-123</v>
      </c>
      <c r="W13" s="131">
        <v>-11</v>
      </c>
      <c r="X13" s="131">
        <v>-8</v>
      </c>
      <c r="Y13" s="131">
        <v>5</v>
      </c>
      <c r="Z13" s="131">
        <v>4</v>
      </c>
      <c r="AA13" s="229">
        <v>-10</v>
      </c>
      <c r="AB13" s="131">
        <v>-6</v>
      </c>
      <c r="AC13" s="151">
        <v>-38</v>
      </c>
      <c r="AD13" s="151">
        <v>-7</v>
      </c>
      <c r="AE13" s="151">
        <v>-5</v>
      </c>
      <c r="AF13" s="239">
        <v>-56</v>
      </c>
      <c r="AG13" s="131">
        <v>-19</v>
      </c>
      <c r="AH13" s="151">
        <v>-7</v>
      </c>
      <c r="AI13" s="151">
        <v>-19</v>
      </c>
      <c r="AJ13" s="151">
        <v>56</v>
      </c>
      <c r="AK13" s="239">
        <v>11</v>
      </c>
      <c r="AL13" s="131">
        <v>23</v>
      </c>
      <c r="AM13" s="151">
        <v>-92</v>
      </c>
      <c r="AN13" s="151">
        <v>-79</v>
      </c>
      <c r="AO13" s="151">
        <v>-35</v>
      </c>
      <c r="AP13" s="239">
        <v>-183</v>
      </c>
      <c r="AQ13" s="131">
        <v>-27</v>
      </c>
      <c r="AR13" s="151">
        <v>-28</v>
      </c>
      <c r="AS13" s="151">
        <v>138</v>
      </c>
      <c r="AT13" s="151">
        <v>49</v>
      </c>
      <c r="AU13" s="239">
        <v>132</v>
      </c>
      <c r="AV13" s="131">
        <v>-56</v>
      </c>
      <c r="AW13" s="151">
        <v>-27</v>
      </c>
      <c r="AX13" s="151">
        <v>8499</v>
      </c>
      <c r="AY13" s="151">
        <v>6617</v>
      </c>
      <c r="AZ13" s="239">
        <v>15033</v>
      </c>
      <c r="BA13" s="131">
        <v>-21</v>
      </c>
      <c r="BB13" s="151">
        <v>-69</v>
      </c>
      <c r="BC13" s="151">
        <v>-36</v>
      </c>
      <c r="BD13" s="151">
        <v>-35</v>
      </c>
      <c r="BE13" s="239">
        <v>-137</v>
      </c>
      <c r="BF13" s="131">
        <v>-165</v>
      </c>
      <c r="BG13" s="151">
        <v>-14</v>
      </c>
      <c r="BH13" s="151">
        <v>-43</v>
      </c>
      <c r="BI13" s="151">
        <v>66</v>
      </c>
      <c r="BJ13" s="239">
        <v>-143</v>
      </c>
      <c r="BK13" s="577"/>
      <c r="BL13" s="467"/>
    </row>
    <row r="14" spans="2:64" s="1" customFormat="1" ht="23.25" customHeight="1">
      <c r="B14" s="94" t="str">
        <f>names!$A464</f>
        <v>(Strata)/odwrócenie straty z tytułu utraty wartości należności handlowych (w tym odsetek od należności handlowych)</v>
      </c>
      <c r="C14" s="133">
        <v>0</v>
      </c>
      <c r="D14" s="133">
        <v>0</v>
      </c>
      <c r="E14" s="133">
        <v>0</v>
      </c>
      <c r="F14" s="133">
        <v>0</v>
      </c>
      <c r="G14" s="230">
        <v>0</v>
      </c>
      <c r="H14" s="133">
        <v>0</v>
      </c>
      <c r="I14" s="133">
        <v>0</v>
      </c>
      <c r="J14" s="133">
        <v>0</v>
      </c>
      <c r="K14" s="133">
        <v>0</v>
      </c>
      <c r="L14" s="230">
        <v>0</v>
      </c>
      <c r="M14" s="133">
        <v>0</v>
      </c>
      <c r="N14" s="133">
        <v>0</v>
      </c>
      <c r="O14" s="133">
        <v>0</v>
      </c>
      <c r="P14" s="133">
        <v>0</v>
      </c>
      <c r="Q14" s="230">
        <v>0</v>
      </c>
      <c r="R14" s="133">
        <v>0</v>
      </c>
      <c r="S14" s="133">
        <v>0</v>
      </c>
      <c r="T14" s="133">
        <v>0</v>
      </c>
      <c r="U14" s="133">
        <v>0</v>
      </c>
      <c r="V14" s="230">
        <v>0</v>
      </c>
      <c r="W14" s="133">
        <v>0</v>
      </c>
      <c r="X14" s="133">
        <v>0</v>
      </c>
      <c r="Y14" s="133">
        <v>0</v>
      </c>
      <c r="Z14" s="133">
        <v>0</v>
      </c>
      <c r="AA14" s="230">
        <v>0</v>
      </c>
      <c r="AB14" s="133">
        <v>-4</v>
      </c>
      <c r="AC14" s="133">
        <v>0</v>
      </c>
      <c r="AD14" s="133">
        <v>0</v>
      </c>
      <c r="AE14" s="133">
        <v>-5</v>
      </c>
      <c r="AF14" s="230">
        <v>-9</v>
      </c>
      <c r="AG14" s="133">
        <v>-8</v>
      </c>
      <c r="AH14" s="133">
        <v>-7</v>
      </c>
      <c r="AI14" s="133">
        <v>-18</v>
      </c>
      <c r="AJ14" s="133">
        <v>9</v>
      </c>
      <c r="AK14" s="230">
        <v>-24</v>
      </c>
      <c r="AL14" s="133">
        <v>5</v>
      </c>
      <c r="AM14" s="133">
        <v>-28</v>
      </c>
      <c r="AN14" s="133">
        <v>-5</v>
      </c>
      <c r="AO14" s="133">
        <v>-5</v>
      </c>
      <c r="AP14" s="230">
        <v>-33</v>
      </c>
      <c r="AQ14" s="133">
        <v>3</v>
      </c>
      <c r="AR14" s="133">
        <v>3</v>
      </c>
      <c r="AS14" s="133">
        <v>0</v>
      </c>
      <c r="AT14" s="133">
        <v>-6</v>
      </c>
      <c r="AU14" s="230">
        <v>0</v>
      </c>
      <c r="AV14" s="133">
        <v>8</v>
      </c>
      <c r="AW14" s="133">
        <v>-3</v>
      </c>
      <c r="AX14" s="133">
        <v>1</v>
      </c>
      <c r="AY14" s="133">
        <v>5</v>
      </c>
      <c r="AZ14" s="230">
        <v>11</v>
      </c>
      <c r="BA14" s="133">
        <v>-6</v>
      </c>
      <c r="BB14" s="133">
        <v>8</v>
      </c>
      <c r="BC14" s="133">
        <v>-18</v>
      </c>
      <c r="BD14" s="133">
        <v>10</v>
      </c>
      <c r="BE14" s="230">
        <v>-6</v>
      </c>
      <c r="BF14" s="133">
        <v>6</v>
      </c>
      <c r="BG14" s="133">
        <v>-2</v>
      </c>
      <c r="BH14" s="133">
        <v>0</v>
      </c>
      <c r="BI14" s="133">
        <v>-17</v>
      </c>
      <c r="BJ14" s="230">
        <v>-13</v>
      </c>
      <c r="BK14" s="577"/>
      <c r="BL14" s="467"/>
    </row>
    <row r="15" spans="2:64" s="1" customFormat="1" ht="11.25" customHeight="1" thickBot="1">
      <c r="B15" s="19" t="str">
        <f>names!$A465</f>
        <v>Udział w wyniku finansowym jednostek wycenianych metodą praw własności</v>
      </c>
      <c r="C15" s="131">
        <v>0</v>
      </c>
      <c r="D15" s="131">
        <v>0</v>
      </c>
      <c r="E15" s="131">
        <v>0</v>
      </c>
      <c r="F15" s="131">
        <v>-1</v>
      </c>
      <c r="G15" s="229">
        <v>-1</v>
      </c>
      <c r="H15" s="131">
        <v>0</v>
      </c>
      <c r="I15" s="131">
        <v>0</v>
      </c>
      <c r="J15" s="131">
        <v>-1</v>
      </c>
      <c r="K15" s="131">
        <v>0</v>
      </c>
      <c r="L15" s="229">
        <v>-1</v>
      </c>
      <c r="M15" s="131">
        <v>0</v>
      </c>
      <c r="N15" s="131">
        <v>0</v>
      </c>
      <c r="O15" s="131">
        <v>0</v>
      </c>
      <c r="P15" s="131">
        <v>0</v>
      </c>
      <c r="Q15" s="229">
        <v>0</v>
      </c>
      <c r="R15" s="131">
        <v>0</v>
      </c>
      <c r="S15" s="131">
        <v>0</v>
      </c>
      <c r="T15" s="131">
        <v>0</v>
      </c>
      <c r="U15" s="131">
        <v>0</v>
      </c>
      <c r="V15" s="229">
        <v>0</v>
      </c>
      <c r="W15" s="131">
        <v>0</v>
      </c>
      <c r="X15" s="131">
        <v>0</v>
      </c>
      <c r="Y15" s="131">
        <v>0</v>
      </c>
      <c r="Z15" s="131">
        <v>0</v>
      </c>
      <c r="AA15" s="229">
        <v>0</v>
      </c>
      <c r="AB15" s="131">
        <v>0</v>
      </c>
      <c r="AC15" s="131">
        <v>0</v>
      </c>
      <c r="AD15" s="131">
        <v>0</v>
      </c>
      <c r="AE15" s="131">
        <v>0</v>
      </c>
      <c r="AF15" s="229">
        <v>0</v>
      </c>
      <c r="AG15" s="131">
        <v>0</v>
      </c>
      <c r="AH15" s="131">
        <v>0</v>
      </c>
      <c r="AI15" s="131">
        <v>0</v>
      </c>
      <c r="AJ15" s="131">
        <v>0</v>
      </c>
      <c r="AK15" s="229">
        <v>0</v>
      </c>
      <c r="AL15" s="131">
        <v>0</v>
      </c>
      <c r="AM15" s="131">
        <v>1</v>
      </c>
      <c r="AN15" s="131">
        <v>0</v>
      </c>
      <c r="AO15" s="131">
        <v>0</v>
      </c>
      <c r="AP15" s="229">
        <v>1</v>
      </c>
      <c r="AQ15" s="131">
        <v>0</v>
      </c>
      <c r="AR15" s="131">
        <v>0</v>
      </c>
      <c r="AS15" s="131">
        <v>1</v>
      </c>
      <c r="AT15" s="131">
        <v>0</v>
      </c>
      <c r="AU15" s="229">
        <v>1</v>
      </c>
      <c r="AV15" s="131">
        <v>0</v>
      </c>
      <c r="AW15" s="131">
        <v>-1</v>
      </c>
      <c r="AX15" s="131">
        <v>1</v>
      </c>
      <c r="AY15" s="131">
        <v>0</v>
      </c>
      <c r="AZ15" s="229">
        <v>0</v>
      </c>
      <c r="BA15" s="131">
        <v>1</v>
      </c>
      <c r="BB15" s="131">
        <v>1</v>
      </c>
      <c r="BC15" s="131">
        <v>1</v>
      </c>
      <c r="BD15" s="131">
        <v>0</v>
      </c>
      <c r="BE15" s="229">
        <v>0</v>
      </c>
      <c r="BF15" s="131">
        <v>1</v>
      </c>
      <c r="BG15" s="131">
        <v>1</v>
      </c>
      <c r="BH15" s="131">
        <v>0</v>
      </c>
      <c r="BI15" s="131">
        <v>0</v>
      </c>
      <c r="BJ15" s="229">
        <v>0</v>
      </c>
      <c r="BK15" s="577"/>
      <c r="BL15" s="467"/>
    </row>
    <row r="16" spans="2:64" s="1" customFormat="1" ht="23.25" thickBot="1">
      <c r="B16" s="93" t="str">
        <f>names!$A539</f>
        <v>Zysk/(Strata) operacyjna powiększona o amortyzację (EBITDA) przed odpisami aktualizującymi</v>
      </c>
      <c r="C16" s="148">
        <v>-139</v>
      </c>
      <c r="D16" s="148">
        <v>-147</v>
      </c>
      <c r="E16" s="148">
        <v>-96</v>
      </c>
      <c r="F16" s="148">
        <f>-174-1</f>
        <v>-175</v>
      </c>
      <c r="G16" s="202">
        <v>-557</v>
      </c>
      <c r="H16" s="148">
        <v>-133</v>
      </c>
      <c r="I16" s="148">
        <v>-142</v>
      </c>
      <c r="J16" s="148">
        <v>-142</v>
      </c>
      <c r="K16" s="148">
        <v>-148</v>
      </c>
      <c r="L16" s="202">
        <v>-565</v>
      </c>
      <c r="M16" s="148">
        <v>-139</v>
      </c>
      <c r="N16" s="148">
        <v>-172</v>
      </c>
      <c r="O16" s="148">
        <v>-144</v>
      </c>
      <c r="P16" s="148">
        <v>-166</v>
      </c>
      <c r="Q16" s="202">
        <v>-621</v>
      </c>
      <c r="R16" s="148">
        <v>-146</v>
      </c>
      <c r="S16" s="148">
        <v>-180</v>
      </c>
      <c r="T16" s="148">
        <v>-149</v>
      </c>
      <c r="U16" s="148">
        <v>-276</v>
      </c>
      <c r="V16" s="202">
        <v>-751</v>
      </c>
      <c r="W16" s="148">
        <v>-152</v>
      </c>
      <c r="X16" s="148">
        <v>-150</v>
      </c>
      <c r="Y16" s="148">
        <v>-129</v>
      </c>
      <c r="Z16" s="148">
        <v>-183</v>
      </c>
      <c r="AA16" s="202">
        <v>-614</v>
      </c>
      <c r="AB16" s="148">
        <v>-152</v>
      </c>
      <c r="AC16" s="148">
        <v>-212</v>
      </c>
      <c r="AD16" s="148">
        <v>-166</v>
      </c>
      <c r="AE16" s="148">
        <v>-263</v>
      </c>
      <c r="AF16" s="202">
        <v>-793</v>
      </c>
      <c r="AG16" s="148">
        <v>-205</v>
      </c>
      <c r="AH16" s="148">
        <v>-201</v>
      </c>
      <c r="AI16" s="148">
        <v>-245</v>
      </c>
      <c r="AJ16" s="148">
        <v>-184</v>
      </c>
      <c r="AK16" s="202">
        <v>-835</v>
      </c>
      <c r="AL16" s="148">
        <v>-219</v>
      </c>
      <c r="AM16" s="148">
        <v>-347</v>
      </c>
      <c r="AN16" s="148">
        <v>-263</v>
      </c>
      <c r="AO16" s="148">
        <v>-295</v>
      </c>
      <c r="AP16" s="202">
        <v>-1124</v>
      </c>
      <c r="AQ16" s="148">
        <v>-290</v>
      </c>
      <c r="AR16" s="148">
        <v>-235</v>
      </c>
      <c r="AS16" s="148">
        <v>-32</v>
      </c>
      <c r="AT16" s="148">
        <v>-162</v>
      </c>
      <c r="AU16" s="202">
        <v>-719</v>
      </c>
      <c r="AV16" s="148">
        <v>-316</v>
      </c>
      <c r="AW16" s="148">
        <v>-304</v>
      </c>
      <c r="AX16" s="148">
        <v>8229</v>
      </c>
      <c r="AY16" s="148">
        <v>6239</v>
      </c>
      <c r="AZ16" s="202">
        <v>13848</v>
      </c>
      <c r="BA16" s="148">
        <v>-399</v>
      </c>
      <c r="BB16" s="148">
        <v>-438</v>
      </c>
      <c r="BC16" s="148">
        <v>-431</v>
      </c>
      <c r="BD16" s="148">
        <v>-368</v>
      </c>
      <c r="BE16" s="202">
        <v>-1615</v>
      </c>
      <c r="BF16" s="148">
        <v>-644</v>
      </c>
      <c r="BG16" s="148">
        <v>-456</v>
      </c>
      <c r="BH16" s="148">
        <v>-394</v>
      </c>
      <c r="BI16" s="148">
        <v>-419</v>
      </c>
      <c r="BJ16" s="202">
        <v>-1899</v>
      </c>
      <c r="BK16" s="577"/>
      <c r="BL16" s="467"/>
    </row>
    <row r="17" spans="2:64" s="1" customFormat="1" ht="12" thickBot="1">
      <c r="B17" s="93" t="str">
        <f>names!$A540</f>
        <v>Zysk/(Strata) operacyjna powiększona o amortyzację (EBITDA)</v>
      </c>
      <c r="C17" s="148">
        <v>-139</v>
      </c>
      <c r="D17" s="148">
        <v>-147</v>
      </c>
      <c r="E17" s="148">
        <v>-96</v>
      </c>
      <c r="F17" s="148">
        <f>-174-1</f>
        <v>-175</v>
      </c>
      <c r="G17" s="202">
        <v>-557</v>
      </c>
      <c r="H17" s="148">
        <v>-133</v>
      </c>
      <c r="I17" s="148">
        <v>-142</v>
      </c>
      <c r="J17" s="148">
        <v>-142</v>
      </c>
      <c r="K17" s="148">
        <v>-148</v>
      </c>
      <c r="L17" s="202">
        <v>-565</v>
      </c>
      <c r="M17" s="148">
        <v>-139</v>
      </c>
      <c r="N17" s="148">
        <v>-172</v>
      </c>
      <c r="O17" s="148">
        <v>-144</v>
      </c>
      <c r="P17" s="148">
        <v>-171</v>
      </c>
      <c r="Q17" s="202">
        <v>-626</v>
      </c>
      <c r="R17" s="148">
        <v>-146</v>
      </c>
      <c r="S17" s="148">
        <v>-180</v>
      </c>
      <c r="T17" s="148">
        <v>-146</v>
      </c>
      <c r="U17" s="148">
        <v>-272</v>
      </c>
      <c r="V17" s="202">
        <v>-744</v>
      </c>
      <c r="W17" s="148">
        <v>-152</v>
      </c>
      <c r="X17" s="148">
        <v>-152</v>
      </c>
      <c r="Y17" s="148">
        <v>-133</v>
      </c>
      <c r="Z17" s="148">
        <v>-176</v>
      </c>
      <c r="AA17" s="202">
        <v>-613</v>
      </c>
      <c r="AB17" s="148">
        <v>-152</v>
      </c>
      <c r="AC17" s="148">
        <v>-214</v>
      </c>
      <c r="AD17" s="148">
        <v>-169</v>
      </c>
      <c r="AE17" s="148">
        <v>-214</v>
      </c>
      <c r="AF17" s="202">
        <v>-749</v>
      </c>
      <c r="AG17" s="148">
        <v>-205</v>
      </c>
      <c r="AH17" s="148">
        <v>-207</v>
      </c>
      <c r="AI17" s="148">
        <v>-246</v>
      </c>
      <c r="AJ17" s="148">
        <v>-184</v>
      </c>
      <c r="AK17" s="202">
        <v>-842</v>
      </c>
      <c r="AL17" s="148">
        <v>-219</v>
      </c>
      <c r="AM17" s="148">
        <v>-347</v>
      </c>
      <c r="AN17" s="148">
        <v>-263</v>
      </c>
      <c r="AO17" s="148">
        <v>-299</v>
      </c>
      <c r="AP17" s="202">
        <v>-1128</v>
      </c>
      <c r="AQ17" s="148">
        <v>-290</v>
      </c>
      <c r="AR17" s="148">
        <v>-235</v>
      </c>
      <c r="AS17" s="148">
        <v>-32</v>
      </c>
      <c r="AT17" s="148">
        <v>-165</v>
      </c>
      <c r="AU17" s="202">
        <v>-722</v>
      </c>
      <c r="AV17" s="148">
        <v>-316</v>
      </c>
      <c r="AW17" s="148">
        <v>-304</v>
      </c>
      <c r="AX17" s="148">
        <v>8227</v>
      </c>
      <c r="AY17" s="148">
        <v>6232</v>
      </c>
      <c r="AZ17" s="202">
        <v>13839</v>
      </c>
      <c r="BA17" s="148">
        <v>-399</v>
      </c>
      <c r="BB17" s="148">
        <v>-438</v>
      </c>
      <c r="BC17" s="148">
        <v>-431</v>
      </c>
      <c r="BD17" s="148">
        <v>-378</v>
      </c>
      <c r="BE17" s="202">
        <v>-1625</v>
      </c>
      <c r="BF17" s="148">
        <v>-644</v>
      </c>
      <c r="BG17" s="148">
        <v>-457</v>
      </c>
      <c r="BH17" s="148">
        <v>-426</v>
      </c>
      <c r="BI17" s="148">
        <v>-430</v>
      </c>
      <c r="BJ17" s="202">
        <v>-1946</v>
      </c>
      <c r="BK17" s="577"/>
      <c r="BL17" s="467"/>
    </row>
    <row r="18" spans="2:64" s="1" customFormat="1" ht="12" thickBot="1">
      <c r="B18" s="93" t="str">
        <f>names!$A541</f>
        <v>Zysk/(Strata) operacyjna (EBIT) przed odpisami aktualizującymi</v>
      </c>
      <c r="C18" s="148">
        <v>-168</v>
      </c>
      <c r="D18" s="148">
        <v>-174</v>
      </c>
      <c r="E18" s="148">
        <v>-128</v>
      </c>
      <c r="F18" s="148">
        <f>-206-2</f>
        <v>-208</v>
      </c>
      <c r="G18" s="202">
        <v>-678</v>
      </c>
      <c r="H18" s="148">
        <v>-160</v>
      </c>
      <c r="I18" s="148">
        <v>-168</v>
      </c>
      <c r="J18" s="148">
        <v>-166</v>
      </c>
      <c r="K18" s="148">
        <v>-177</v>
      </c>
      <c r="L18" s="202">
        <v>-671</v>
      </c>
      <c r="M18" s="148">
        <v>-156</v>
      </c>
      <c r="N18" s="148">
        <v>-193</v>
      </c>
      <c r="O18" s="148">
        <v>-167</v>
      </c>
      <c r="P18" s="148">
        <v>-190</v>
      </c>
      <c r="Q18" s="202">
        <v>-706</v>
      </c>
      <c r="R18" s="148">
        <v>-169</v>
      </c>
      <c r="S18" s="148">
        <v>-205</v>
      </c>
      <c r="T18" s="148">
        <v>-174</v>
      </c>
      <c r="U18" s="148">
        <v>-303</v>
      </c>
      <c r="V18" s="202">
        <v>-851</v>
      </c>
      <c r="W18" s="148">
        <v>-175</v>
      </c>
      <c r="X18" s="148">
        <v>-176</v>
      </c>
      <c r="Y18" s="148">
        <v>-158</v>
      </c>
      <c r="Z18" s="148">
        <v>-218</v>
      </c>
      <c r="AA18" s="202">
        <v>-727</v>
      </c>
      <c r="AB18" s="148">
        <v>-177</v>
      </c>
      <c r="AC18" s="148">
        <v>-238</v>
      </c>
      <c r="AD18" s="148">
        <v>-196</v>
      </c>
      <c r="AE18" s="148">
        <v>-295</v>
      </c>
      <c r="AF18" s="202">
        <v>-906</v>
      </c>
      <c r="AG18" s="148">
        <v>-240</v>
      </c>
      <c r="AH18" s="148">
        <v>-239</v>
      </c>
      <c r="AI18" s="148">
        <v>-285</v>
      </c>
      <c r="AJ18" s="148">
        <v>-239</v>
      </c>
      <c r="AK18" s="202">
        <v>-1003</v>
      </c>
      <c r="AL18" s="148">
        <v>-269</v>
      </c>
      <c r="AM18" s="148">
        <v>-395</v>
      </c>
      <c r="AN18" s="148">
        <v>-317</v>
      </c>
      <c r="AO18" s="148">
        <v>-349</v>
      </c>
      <c r="AP18" s="202">
        <v>-1330</v>
      </c>
      <c r="AQ18" s="148">
        <v>-347</v>
      </c>
      <c r="AR18" s="148">
        <v>-303</v>
      </c>
      <c r="AS18" s="148">
        <v>-100</v>
      </c>
      <c r="AT18" s="148">
        <v>-261</v>
      </c>
      <c r="AU18" s="202">
        <v>-1011</v>
      </c>
      <c r="AV18" s="148">
        <v>-395</v>
      </c>
      <c r="AW18" s="148">
        <v>-378</v>
      </c>
      <c r="AX18" s="148">
        <v>8148</v>
      </c>
      <c r="AY18" s="148">
        <v>6147</v>
      </c>
      <c r="AZ18" s="202">
        <v>13522</v>
      </c>
      <c r="BA18" s="148">
        <v>-486</v>
      </c>
      <c r="BB18" s="148">
        <v>-530</v>
      </c>
      <c r="BC18" s="148">
        <v>-518</v>
      </c>
      <c r="BD18" s="148">
        <v>-472</v>
      </c>
      <c r="BE18" s="202">
        <v>-1985</v>
      </c>
      <c r="BF18" s="148">
        <v>-740</v>
      </c>
      <c r="BG18" s="148">
        <v>-552</v>
      </c>
      <c r="BH18" s="148">
        <v>-496</v>
      </c>
      <c r="BI18" s="148">
        <v>-521</v>
      </c>
      <c r="BJ18" s="202">
        <v>-2295</v>
      </c>
      <c r="BK18" s="577"/>
      <c r="BL18" s="467"/>
    </row>
    <row r="19" spans="2:64" s="1" customFormat="1" ht="12" thickBot="1">
      <c r="B19" s="93" t="str">
        <f>names!$A542</f>
        <v>Zysk/(Strata) operacyjna (EBIT)</v>
      </c>
      <c r="C19" s="148">
        <v>-168</v>
      </c>
      <c r="D19" s="148">
        <v>-174</v>
      </c>
      <c r="E19" s="148">
        <v>-128</v>
      </c>
      <c r="F19" s="148">
        <f>-206-2</f>
        <v>-208</v>
      </c>
      <c r="G19" s="202">
        <v>-678</v>
      </c>
      <c r="H19" s="148">
        <v>-160</v>
      </c>
      <c r="I19" s="148">
        <v>-168</v>
      </c>
      <c r="J19" s="148">
        <v>-166</v>
      </c>
      <c r="K19" s="148">
        <v>-177</v>
      </c>
      <c r="L19" s="202">
        <v>-671</v>
      </c>
      <c r="M19" s="148">
        <v>-156</v>
      </c>
      <c r="N19" s="148">
        <v>-193</v>
      </c>
      <c r="O19" s="148">
        <v>-167</v>
      </c>
      <c r="P19" s="428">
        <v>-195</v>
      </c>
      <c r="Q19" s="429">
        <v>-711</v>
      </c>
      <c r="R19" s="148">
        <v>-169</v>
      </c>
      <c r="S19" s="148">
        <v>-205</v>
      </c>
      <c r="T19" s="148">
        <v>-171</v>
      </c>
      <c r="U19" s="428">
        <v>-299</v>
      </c>
      <c r="V19" s="429">
        <v>-844</v>
      </c>
      <c r="W19" s="148">
        <v>-175</v>
      </c>
      <c r="X19" s="148">
        <v>-178</v>
      </c>
      <c r="Y19" s="148">
        <v>-162</v>
      </c>
      <c r="Z19" s="428">
        <v>-211</v>
      </c>
      <c r="AA19" s="429">
        <v>-726</v>
      </c>
      <c r="AB19" s="148">
        <v>-177</v>
      </c>
      <c r="AC19" s="148">
        <v>-240</v>
      </c>
      <c r="AD19" s="148">
        <v>-199</v>
      </c>
      <c r="AE19" s="428">
        <v>-246</v>
      </c>
      <c r="AF19" s="429">
        <v>-862</v>
      </c>
      <c r="AG19" s="148">
        <v>-240</v>
      </c>
      <c r="AH19" s="148">
        <v>-245</v>
      </c>
      <c r="AI19" s="148">
        <v>-286</v>
      </c>
      <c r="AJ19" s="428">
        <v>-239</v>
      </c>
      <c r="AK19" s="429">
        <v>-1010</v>
      </c>
      <c r="AL19" s="148">
        <v>-269</v>
      </c>
      <c r="AM19" s="148">
        <v>-395</v>
      </c>
      <c r="AN19" s="148">
        <v>-317</v>
      </c>
      <c r="AO19" s="428">
        <v>-353</v>
      </c>
      <c r="AP19" s="429">
        <v>-1334</v>
      </c>
      <c r="AQ19" s="148">
        <v>-347</v>
      </c>
      <c r="AR19" s="148">
        <v>-303</v>
      </c>
      <c r="AS19" s="148">
        <v>-100</v>
      </c>
      <c r="AT19" s="428">
        <v>-264</v>
      </c>
      <c r="AU19" s="429">
        <v>-1014</v>
      </c>
      <c r="AV19" s="148">
        <v>-395</v>
      </c>
      <c r="AW19" s="148">
        <v>-378</v>
      </c>
      <c r="AX19" s="148">
        <v>8146</v>
      </c>
      <c r="AY19" s="428">
        <v>6140</v>
      </c>
      <c r="AZ19" s="429">
        <v>13513</v>
      </c>
      <c r="BA19" s="148">
        <v>-486</v>
      </c>
      <c r="BB19" s="148">
        <v>-530</v>
      </c>
      <c r="BC19" s="148">
        <v>-518</v>
      </c>
      <c r="BD19" s="428">
        <v>-482</v>
      </c>
      <c r="BE19" s="429">
        <v>-1995</v>
      </c>
      <c r="BF19" s="148">
        <v>-740</v>
      </c>
      <c r="BG19" s="148">
        <v>-553</v>
      </c>
      <c r="BH19" s="148">
        <v>-528</v>
      </c>
      <c r="BI19" s="428">
        <v>-532</v>
      </c>
      <c r="BJ19" s="429">
        <v>-2342</v>
      </c>
      <c r="BK19" s="577"/>
      <c r="BL19" s="467"/>
    </row>
    <row r="20" spans="2:64" s="1" customFormat="1" ht="11.25">
      <c r="B20" s="389" t="str">
        <f>names!$A550</f>
        <v>Zwiększenie aktywów trwałych **</v>
      </c>
      <c r="C20" s="149">
        <v>9</v>
      </c>
      <c r="D20" s="149">
        <v>32</v>
      </c>
      <c r="E20" s="149">
        <v>19</v>
      </c>
      <c r="F20" s="149">
        <f>63-6</f>
        <v>57</v>
      </c>
      <c r="G20" s="241">
        <v>117</v>
      </c>
      <c r="H20" s="149">
        <v>54</v>
      </c>
      <c r="I20" s="149">
        <v>108</v>
      </c>
      <c r="J20" s="149">
        <v>22</v>
      </c>
      <c r="K20" s="149">
        <v>46</v>
      </c>
      <c r="L20" s="241">
        <v>230</v>
      </c>
      <c r="M20" s="149">
        <v>38</v>
      </c>
      <c r="N20" s="149">
        <v>26</v>
      </c>
      <c r="O20" s="149">
        <v>79</v>
      </c>
      <c r="P20" s="149">
        <v>62</v>
      </c>
      <c r="Q20" s="241">
        <v>205</v>
      </c>
      <c r="R20" s="149">
        <v>20</v>
      </c>
      <c r="S20" s="149">
        <v>35</v>
      </c>
      <c r="T20" s="149">
        <v>20</v>
      </c>
      <c r="U20" s="149">
        <v>61</v>
      </c>
      <c r="V20" s="241">
        <v>136</v>
      </c>
      <c r="W20" s="149">
        <v>36</v>
      </c>
      <c r="X20" s="149">
        <v>57</v>
      </c>
      <c r="Y20" s="149">
        <v>49</v>
      </c>
      <c r="Z20" s="149">
        <v>79</v>
      </c>
      <c r="AA20" s="241">
        <v>221</v>
      </c>
      <c r="AB20" s="149">
        <v>27</v>
      </c>
      <c r="AC20" s="149">
        <v>62</v>
      </c>
      <c r="AD20" s="149">
        <v>37</v>
      </c>
      <c r="AE20" s="149">
        <v>131</v>
      </c>
      <c r="AF20" s="241">
        <v>257</v>
      </c>
      <c r="AG20" s="149">
        <v>24</v>
      </c>
      <c r="AH20" s="149">
        <v>59</v>
      </c>
      <c r="AI20" s="149">
        <v>152</v>
      </c>
      <c r="AJ20" s="149">
        <v>210</v>
      </c>
      <c r="AK20" s="241">
        <v>445</v>
      </c>
      <c r="AL20" s="149">
        <v>38</v>
      </c>
      <c r="AM20" s="149">
        <v>90</v>
      </c>
      <c r="AN20" s="149">
        <v>93</v>
      </c>
      <c r="AO20" s="149">
        <v>234</v>
      </c>
      <c r="AP20" s="241">
        <v>455</v>
      </c>
      <c r="AQ20" s="149">
        <v>44</v>
      </c>
      <c r="AR20" s="149">
        <v>77</v>
      </c>
      <c r="AS20" s="149">
        <v>63</v>
      </c>
      <c r="AT20" s="149">
        <v>159</v>
      </c>
      <c r="AU20" s="241">
        <v>343</v>
      </c>
      <c r="AV20" s="149">
        <v>73</v>
      </c>
      <c r="AW20" s="149">
        <v>40</v>
      </c>
      <c r="AX20" s="149">
        <v>165</v>
      </c>
      <c r="AY20" s="149">
        <v>207</v>
      </c>
      <c r="AZ20" s="241">
        <v>485</v>
      </c>
      <c r="BA20" s="149">
        <v>42</v>
      </c>
      <c r="BB20" s="149">
        <v>87</v>
      </c>
      <c r="BC20" s="149">
        <v>135</v>
      </c>
      <c r="BD20" s="149">
        <v>171</v>
      </c>
      <c r="BE20" s="241">
        <v>435</v>
      </c>
      <c r="BF20" s="149">
        <v>89</v>
      </c>
      <c r="BG20" s="149">
        <v>106</v>
      </c>
      <c r="BH20" s="149">
        <v>68</v>
      </c>
      <c r="BI20" s="149">
        <v>484</v>
      </c>
      <c r="BJ20" s="241">
        <v>747</v>
      </c>
      <c r="BK20" s="577"/>
      <c r="BL20" s="467"/>
    </row>
    <row r="21" spans="2:64">
      <c r="B21" s="7" t="str">
        <f>names!$A551</f>
        <v>*) Dane przekształcone.</v>
      </c>
      <c r="C21" s="13"/>
      <c r="D21" s="13"/>
      <c r="E21" s="13"/>
      <c r="F21" s="13"/>
      <c r="G21" s="13"/>
      <c r="H21" s="13"/>
      <c r="I21" s="13"/>
      <c r="J21" s="13"/>
      <c r="K21" s="13"/>
      <c r="L21" s="13"/>
      <c r="M21" s="13"/>
      <c r="N21" s="7"/>
      <c r="O21" s="13"/>
      <c r="P21" s="13"/>
      <c r="Q21" s="13"/>
      <c r="R21" s="13"/>
      <c r="S21" s="7"/>
      <c r="T21" s="13"/>
      <c r="U21" s="13"/>
      <c r="V21" s="13"/>
      <c r="W21" s="13"/>
      <c r="X21" s="7"/>
      <c r="Y21" s="13"/>
      <c r="Z21" s="13"/>
      <c r="AA21" s="13"/>
      <c r="AB21" s="13"/>
      <c r="AC21" s="7"/>
      <c r="AD21" s="13"/>
      <c r="AE21" s="13"/>
      <c r="AF21" s="13"/>
      <c r="AG21" s="13"/>
      <c r="AH21" s="7"/>
      <c r="AI21" s="13"/>
      <c r="AJ21" s="13"/>
      <c r="AK21" s="13"/>
      <c r="AL21" s="13"/>
      <c r="AM21" s="7"/>
      <c r="AN21" s="13"/>
      <c r="AO21" s="13"/>
      <c r="AP21" s="13"/>
      <c r="AQ21" s="13"/>
      <c r="AR21" s="7"/>
      <c r="AS21" s="13"/>
      <c r="AT21" s="13"/>
      <c r="AU21" s="13"/>
      <c r="AV21" s="13"/>
      <c r="AW21" s="7"/>
      <c r="AX21" s="13"/>
      <c r="AY21" s="13"/>
      <c r="AZ21" s="13"/>
      <c r="BA21" s="13"/>
      <c r="BB21" s="7"/>
      <c r="BC21" s="13"/>
      <c r="BD21" s="13"/>
      <c r="BE21" s="13"/>
      <c r="BF21" s="13"/>
      <c r="BG21" s="7"/>
      <c r="BH21" s="13"/>
      <c r="BI21" s="13"/>
      <c r="BJ21" s="13"/>
      <c r="BK21" s="577"/>
    </row>
    <row r="22" spans="2:64">
      <c r="B22" s="1007" t="str">
        <f>names!$A552</f>
        <v>**) Zgodnie z MSSF 16 Leasing w pozycji zwiększenie aktywów trwałych ujęto wartość praw do użytkowania - w celu zachowania spójności zaktualizowano również dane za I kwartał 2019.</v>
      </c>
      <c r="C22" s="1007" t="s">
        <v>389</v>
      </c>
      <c r="D22" s="1007" t="s">
        <v>389</v>
      </c>
      <c r="E22" s="1007" t="s">
        <v>389</v>
      </c>
      <c r="F22" s="1007" t="s">
        <v>389</v>
      </c>
      <c r="G22" s="1007" t="s">
        <v>389</v>
      </c>
      <c r="H22" s="1007" t="s">
        <v>389</v>
      </c>
      <c r="I22" s="1007" t="s">
        <v>389</v>
      </c>
      <c r="J22" s="1007" t="s">
        <v>389</v>
      </c>
      <c r="K22" s="1007" t="s">
        <v>389</v>
      </c>
      <c r="L22" s="1007" t="s">
        <v>389</v>
      </c>
      <c r="M22" s="1007" t="s">
        <v>389</v>
      </c>
      <c r="N22" s="1007" t="s">
        <v>389</v>
      </c>
      <c r="O22" s="1007" t="s">
        <v>389</v>
      </c>
      <c r="P22" s="1007" t="s">
        <v>389</v>
      </c>
      <c r="Q22" s="1007" t="s">
        <v>389</v>
      </c>
      <c r="R22" s="1007" t="s">
        <v>389</v>
      </c>
      <c r="S22" s="1007" t="s">
        <v>389</v>
      </c>
      <c r="T22" s="1007" t="s">
        <v>389</v>
      </c>
      <c r="U22" s="1007" t="s">
        <v>389</v>
      </c>
      <c r="V22" s="1007" t="s">
        <v>389</v>
      </c>
      <c r="W22" s="1007" t="s">
        <v>389</v>
      </c>
      <c r="X22" s="1007" t="s">
        <v>389</v>
      </c>
      <c r="Y22" s="1007" t="s">
        <v>389</v>
      </c>
      <c r="Z22" s="1007" t="s">
        <v>389</v>
      </c>
      <c r="AA22" s="1007" t="s">
        <v>389</v>
      </c>
      <c r="AB22" s="1007" t="s">
        <v>389</v>
      </c>
      <c r="AC22" s="1007" t="s">
        <v>389</v>
      </c>
      <c r="AD22" s="1007" t="s">
        <v>389</v>
      </c>
      <c r="AE22" s="1007" t="s">
        <v>389</v>
      </c>
      <c r="AF22" s="1007" t="s">
        <v>389</v>
      </c>
      <c r="AG22" s="1007" t="s">
        <v>389</v>
      </c>
      <c r="AH22" s="1007" t="s">
        <v>389</v>
      </c>
      <c r="AI22" s="1007" t="s">
        <v>389</v>
      </c>
      <c r="AJ22" s="1007" t="s">
        <v>389</v>
      </c>
      <c r="AK22" s="1007" t="s">
        <v>389</v>
      </c>
      <c r="AL22" s="1007" t="s">
        <v>389</v>
      </c>
      <c r="AM22" s="1007" t="s">
        <v>389</v>
      </c>
      <c r="AN22" s="1007" t="s">
        <v>389</v>
      </c>
      <c r="AO22" s="1007" t="s">
        <v>389</v>
      </c>
      <c r="AP22" s="1007" t="s">
        <v>389</v>
      </c>
      <c r="AQ22" s="1007" t="s">
        <v>389</v>
      </c>
      <c r="AR22" s="1007" t="s">
        <v>389</v>
      </c>
      <c r="AS22" s="1007" t="s">
        <v>389</v>
      </c>
      <c r="AT22" s="1007" t="s">
        <v>389</v>
      </c>
      <c r="AU22" s="1007" t="s">
        <v>389</v>
      </c>
      <c r="AV22" s="1007" t="s">
        <v>389</v>
      </c>
      <c r="AW22" s="1007" t="s">
        <v>389</v>
      </c>
      <c r="AX22" s="1007" t="s">
        <v>389</v>
      </c>
      <c r="AY22" s="1007" t="s">
        <v>389</v>
      </c>
      <c r="AZ22" s="1007" t="s">
        <v>389</v>
      </c>
      <c r="BA22" s="7"/>
      <c r="BB22" s="7"/>
      <c r="BC22" s="7"/>
      <c r="BD22" s="7"/>
      <c r="BE22" s="7"/>
      <c r="BF22" s="7"/>
      <c r="BG22" s="7"/>
      <c r="BH22" s="7"/>
      <c r="BI22" s="7"/>
      <c r="BJ22" s="7"/>
      <c r="BK22" s="577"/>
    </row>
    <row r="23" spans="2:64">
      <c r="B23" s="13"/>
      <c r="C23" s="22"/>
      <c r="D23" s="22"/>
      <c r="E23" s="22"/>
      <c r="F23" s="385"/>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385"/>
      <c r="AJ23" s="385"/>
      <c r="AK23" s="385"/>
      <c r="AL23" s="22"/>
      <c r="AM23" s="22"/>
      <c r="AN23" s="385"/>
      <c r="AO23" s="385"/>
      <c r="AP23" s="385"/>
      <c r="AQ23" s="22"/>
      <c r="AR23" s="22"/>
      <c r="AS23" s="385"/>
      <c r="AT23" s="385"/>
      <c r="AU23" s="385"/>
      <c r="AV23" s="22"/>
      <c r="AW23" s="22"/>
      <c r="AX23" s="385"/>
      <c r="AY23" s="385"/>
      <c r="AZ23" s="385"/>
      <c r="BA23" s="22"/>
      <c r="BB23" s="22"/>
      <c r="BC23" s="385"/>
      <c r="BD23" s="385"/>
      <c r="BE23" s="385"/>
      <c r="BF23" s="22"/>
      <c r="BG23" s="22"/>
      <c r="BH23" s="385"/>
      <c r="BI23" s="385"/>
      <c r="BJ23" s="385"/>
    </row>
    <row r="24" spans="2:64">
      <c r="B24" s="577"/>
      <c r="C24" s="577"/>
      <c r="D24" s="577"/>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577"/>
      <c r="AL24" s="577"/>
      <c r="AM24" s="577"/>
      <c r="AN24" s="577"/>
      <c r="AO24" s="577"/>
      <c r="AP24" s="577"/>
      <c r="AQ24" s="577"/>
      <c r="AR24" s="577"/>
      <c r="AS24" s="577"/>
      <c r="AT24" s="577"/>
      <c r="AU24" s="577"/>
      <c r="AV24" s="577"/>
      <c r="AW24" s="577"/>
      <c r="AX24" s="577"/>
      <c r="AY24" s="577"/>
      <c r="AZ24" s="577"/>
      <c r="BA24" s="577"/>
      <c r="BB24" s="577"/>
      <c r="BC24" s="577"/>
      <c r="BD24" s="577"/>
      <c r="BE24" s="577"/>
      <c r="BF24" s="577"/>
      <c r="BG24" s="577"/>
      <c r="BH24" s="577"/>
      <c r="BI24" s="577"/>
      <c r="BJ24" s="577"/>
    </row>
    <row r="25" spans="2:64">
      <c r="C25" s="29"/>
      <c r="D25" s="29"/>
      <c r="E25" s="29"/>
      <c r="F25" s="29"/>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7"/>
      <c r="AX25" s="577"/>
      <c r="AY25" s="577"/>
      <c r="AZ25" s="577"/>
      <c r="BA25" s="577"/>
      <c r="BB25" s="577"/>
      <c r="BC25" s="577"/>
      <c r="BD25" s="577"/>
      <c r="BE25" s="577"/>
      <c r="BF25" s="577"/>
      <c r="BG25" s="577"/>
      <c r="BH25" s="577"/>
      <c r="BI25" s="577"/>
      <c r="BJ25" s="577"/>
    </row>
    <row r="26" spans="2:64">
      <c r="B26" s="14"/>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577"/>
      <c r="AV26" s="577"/>
      <c r="AW26" s="577"/>
      <c r="AX26" s="577"/>
      <c r="AY26" s="577"/>
      <c r="AZ26" s="577"/>
      <c r="BA26" s="577"/>
      <c r="BB26" s="577"/>
      <c r="BC26" s="577"/>
      <c r="BD26" s="577"/>
      <c r="BE26" s="577"/>
      <c r="BF26" s="577"/>
      <c r="BG26" s="577"/>
      <c r="BH26" s="577"/>
      <c r="BI26" s="577"/>
      <c r="BJ26" s="577"/>
    </row>
    <row r="27" spans="2:64">
      <c r="B27" s="14"/>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c r="AU27" s="577"/>
      <c r="AV27" s="577"/>
      <c r="AW27" s="577"/>
      <c r="AX27" s="577"/>
      <c r="AY27" s="577"/>
      <c r="AZ27" s="577"/>
      <c r="BA27" s="577"/>
      <c r="BB27" s="577"/>
      <c r="BC27" s="577"/>
      <c r="BD27" s="577"/>
      <c r="BE27" s="577"/>
      <c r="BF27" s="577"/>
      <c r="BG27" s="577"/>
      <c r="BH27" s="577"/>
      <c r="BI27" s="577"/>
      <c r="BJ27" s="577"/>
    </row>
    <row r="28" spans="2:64">
      <c r="B28" s="14"/>
      <c r="G28" s="577"/>
      <c r="H28" s="577"/>
      <c r="I28" s="577"/>
      <c r="J28" s="577"/>
      <c r="K28" s="577"/>
      <c r="L28" s="57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7"/>
      <c r="AL28" s="577"/>
      <c r="AM28" s="577"/>
      <c r="AN28" s="577"/>
      <c r="AO28" s="577"/>
      <c r="AP28" s="577"/>
      <c r="AQ28" s="577"/>
      <c r="AR28" s="577"/>
      <c r="AS28" s="577"/>
      <c r="AT28" s="577"/>
      <c r="AU28" s="577"/>
      <c r="AV28" s="577"/>
      <c r="AW28" s="577"/>
      <c r="AX28" s="577"/>
      <c r="AY28" s="577"/>
      <c r="AZ28" s="577"/>
      <c r="BA28" s="577"/>
      <c r="BB28" s="577"/>
      <c r="BC28" s="577"/>
      <c r="BD28" s="577"/>
      <c r="BE28" s="577"/>
      <c r="BF28" s="577"/>
      <c r="BG28" s="577"/>
      <c r="BH28" s="577"/>
      <c r="BI28" s="577"/>
      <c r="BJ28" s="577"/>
    </row>
    <row r="29" spans="2:64">
      <c r="B29" s="14"/>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7"/>
      <c r="AM29" s="577"/>
      <c r="AN29" s="577"/>
      <c r="AO29" s="577"/>
      <c r="AP29" s="577"/>
      <c r="AQ29" s="577"/>
      <c r="AR29" s="577"/>
      <c r="AS29" s="577"/>
      <c r="AT29" s="577"/>
      <c r="AU29" s="577"/>
      <c r="AV29" s="577"/>
      <c r="AW29" s="577"/>
      <c r="AX29" s="577"/>
      <c r="AY29" s="577"/>
      <c r="AZ29" s="577"/>
      <c r="BA29" s="577"/>
      <c r="BB29" s="577"/>
      <c r="BC29" s="577"/>
      <c r="BD29" s="577"/>
      <c r="BE29" s="577"/>
      <c r="BF29" s="577"/>
      <c r="BG29" s="577"/>
      <c r="BH29" s="577"/>
      <c r="BI29" s="577"/>
      <c r="BJ29" s="577"/>
    </row>
    <row r="30" spans="2:64">
      <c r="B30" s="14"/>
      <c r="G30" s="577"/>
      <c r="H30" s="577"/>
      <c r="I30" s="577"/>
      <c r="J30" s="577"/>
      <c r="K30" s="577"/>
      <c r="L30" s="577"/>
      <c r="M30" s="577"/>
      <c r="N30" s="577"/>
      <c r="O30" s="577"/>
      <c r="P30" s="577"/>
      <c r="Q30" s="577"/>
      <c r="R30" s="577"/>
      <c r="S30" s="577"/>
      <c r="T30" s="577"/>
      <c r="U30" s="577"/>
      <c r="V30" s="577"/>
      <c r="W30" s="577"/>
      <c r="X30" s="577"/>
      <c r="Y30" s="577"/>
      <c r="Z30" s="577"/>
      <c r="AA30" s="577"/>
      <c r="AB30" s="577"/>
      <c r="AC30" s="577"/>
      <c r="AD30" s="577"/>
      <c r="AE30" s="577"/>
      <c r="AF30" s="577"/>
      <c r="AG30" s="577"/>
      <c r="AH30" s="577"/>
      <c r="AI30" s="577"/>
      <c r="AJ30" s="577"/>
      <c r="AK30" s="577"/>
      <c r="AL30" s="577"/>
      <c r="AM30" s="577"/>
      <c r="AN30" s="577"/>
      <c r="AO30" s="577"/>
      <c r="AP30" s="577"/>
      <c r="AQ30" s="577"/>
      <c r="AR30" s="577"/>
      <c r="AS30" s="577"/>
      <c r="AT30" s="577"/>
      <c r="AU30" s="577"/>
      <c r="AV30" s="577"/>
      <c r="AW30" s="577"/>
      <c r="AX30" s="577"/>
      <c r="AY30" s="577"/>
      <c r="AZ30" s="577"/>
      <c r="BA30" s="577"/>
      <c r="BB30" s="577"/>
      <c r="BC30" s="577"/>
      <c r="BD30" s="577"/>
      <c r="BE30" s="577"/>
      <c r="BF30" s="577"/>
      <c r="BG30" s="577"/>
      <c r="BH30" s="577"/>
      <c r="BI30" s="577"/>
      <c r="BJ30" s="577"/>
    </row>
    <row r="31" spans="2:64">
      <c r="B31" s="14"/>
      <c r="G31" s="577"/>
      <c r="H31" s="577"/>
      <c r="I31" s="577"/>
      <c r="J31" s="577"/>
      <c r="K31" s="577"/>
      <c r="L31" s="577"/>
      <c r="M31" s="577"/>
      <c r="N31" s="577"/>
      <c r="O31" s="577"/>
      <c r="P31" s="577"/>
      <c r="Q31" s="577"/>
      <c r="R31" s="577"/>
      <c r="S31" s="577"/>
      <c r="T31" s="577"/>
      <c r="U31" s="577"/>
      <c r="V31" s="577"/>
      <c r="W31" s="577"/>
      <c r="X31" s="577"/>
      <c r="Y31" s="577"/>
      <c r="Z31" s="577"/>
      <c r="AA31" s="577"/>
      <c r="AB31" s="577"/>
      <c r="AC31" s="577"/>
      <c r="AD31" s="577"/>
      <c r="AE31" s="577"/>
      <c r="AF31" s="577"/>
      <c r="AG31" s="577"/>
      <c r="AH31" s="577"/>
      <c r="AI31" s="577"/>
      <c r="AJ31" s="577"/>
      <c r="AK31" s="577"/>
      <c r="AL31" s="577"/>
      <c r="AM31" s="577"/>
      <c r="AN31" s="577"/>
      <c r="AO31" s="577"/>
      <c r="AP31" s="577"/>
      <c r="AQ31" s="577"/>
      <c r="AR31" s="577"/>
      <c r="AS31" s="577"/>
      <c r="AT31" s="577"/>
      <c r="AU31" s="577"/>
      <c r="AV31" s="577"/>
      <c r="AW31" s="577"/>
      <c r="AX31" s="577"/>
      <c r="AY31" s="577"/>
      <c r="AZ31" s="577"/>
      <c r="BA31" s="577"/>
      <c r="BB31" s="577"/>
      <c r="BC31" s="577"/>
      <c r="BD31" s="577"/>
      <c r="BE31" s="577"/>
      <c r="BF31" s="577"/>
      <c r="BG31" s="577"/>
      <c r="BH31" s="577"/>
      <c r="BI31" s="577"/>
      <c r="BJ31" s="577"/>
    </row>
    <row r="32" spans="2:64">
      <c r="B32" s="14"/>
      <c r="G32" s="577"/>
      <c r="H32" s="577"/>
      <c r="I32" s="577"/>
      <c r="J32" s="577"/>
      <c r="K32" s="577"/>
      <c r="L32" s="577"/>
      <c r="M32" s="577"/>
      <c r="N32" s="577"/>
      <c r="O32" s="577"/>
      <c r="P32" s="577"/>
      <c r="Q32" s="577"/>
      <c r="R32" s="577"/>
      <c r="S32" s="577"/>
      <c r="T32" s="577"/>
      <c r="U32" s="577"/>
      <c r="V32" s="577"/>
      <c r="W32" s="577"/>
      <c r="X32" s="577"/>
      <c r="Y32" s="577"/>
      <c r="Z32" s="577"/>
      <c r="AA32" s="577"/>
      <c r="AB32" s="577"/>
      <c r="AC32" s="577"/>
      <c r="AD32" s="577"/>
      <c r="AE32" s="577"/>
      <c r="AF32" s="577"/>
      <c r="AG32" s="577"/>
      <c r="AH32" s="577"/>
      <c r="AI32" s="577"/>
      <c r="AJ32" s="577"/>
      <c r="AK32" s="577"/>
      <c r="AL32" s="577"/>
      <c r="AM32" s="577"/>
      <c r="AN32" s="577"/>
      <c r="AO32" s="577"/>
      <c r="AP32" s="577"/>
      <c r="AQ32" s="577"/>
      <c r="AR32" s="577"/>
      <c r="AS32" s="577"/>
      <c r="AT32" s="577"/>
      <c r="AU32" s="577"/>
      <c r="AV32" s="577"/>
      <c r="AW32" s="577"/>
      <c r="AX32" s="577"/>
      <c r="AY32" s="577"/>
      <c r="AZ32" s="577"/>
      <c r="BA32" s="577"/>
      <c r="BB32" s="577"/>
      <c r="BC32" s="577"/>
      <c r="BD32" s="577"/>
      <c r="BE32" s="577"/>
      <c r="BF32" s="577"/>
      <c r="BG32" s="577"/>
      <c r="BH32" s="577"/>
      <c r="BI32" s="577"/>
      <c r="BJ32" s="577"/>
    </row>
    <row r="33" spans="2:62">
      <c r="B33" s="14"/>
      <c r="G33" s="577"/>
      <c r="H33" s="577"/>
      <c r="I33" s="577"/>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577"/>
      <c r="AN33" s="577"/>
      <c r="AO33" s="577"/>
      <c r="AP33" s="577"/>
      <c r="AQ33" s="577"/>
      <c r="AR33" s="577"/>
      <c r="AS33" s="577"/>
      <c r="AT33" s="577"/>
      <c r="AU33" s="577"/>
      <c r="AV33" s="577"/>
      <c r="AW33" s="577"/>
      <c r="AX33" s="577"/>
      <c r="AY33" s="577"/>
      <c r="AZ33" s="577"/>
      <c r="BA33" s="577"/>
      <c r="BB33" s="577"/>
      <c r="BC33" s="577"/>
      <c r="BD33" s="577"/>
      <c r="BE33" s="577"/>
      <c r="BF33" s="577"/>
      <c r="BG33" s="577"/>
      <c r="BH33" s="577"/>
      <c r="BI33" s="577"/>
      <c r="BJ33" s="577"/>
    </row>
    <row r="34" spans="2:62">
      <c r="B34" s="14"/>
      <c r="G34" s="577"/>
      <c r="H34" s="577"/>
      <c r="I34" s="577"/>
      <c r="J34" s="577"/>
      <c r="K34" s="577"/>
      <c r="L34" s="577"/>
      <c r="M34" s="577"/>
      <c r="N34" s="577"/>
      <c r="O34" s="577"/>
      <c r="P34" s="577"/>
      <c r="Q34" s="577"/>
      <c r="R34" s="577"/>
      <c r="S34" s="577"/>
      <c r="T34" s="577"/>
      <c r="U34" s="577"/>
      <c r="V34" s="577"/>
      <c r="W34" s="577"/>
      <c r="X34" s="577"/>
      <c r="Y34" s="577"/>
      <c r="Z34" s="577"/>
      <c r="AA34" s="577"/>
      <c r="AB34" s="577"/>
      <c r="AC34" s="577"/>
      <c r="AD34" s="577"/>
      <c r="AE34" s="577"/>
      <c r="AF34" s="577"/>
      <c r="AG34" s="577"/>
      <c r="AH34" s="577"/>
      <c r="AI34" s="577"/>
      <c r="AJ34" s="577"/>
      <c r="AK34" s="577"/>
      <c r="AL34" s="577"/>
      <c r="AM34" s="577"/>
      <c r="AN34" s="577"/>
      <c r="AO34" s="577"/>
      <c r="AP34" s="577"/>
      <c r="AQ34" s="577"/>
      <c r="AR34" s="577"/>
      <c r="AS34" s="577"/>
      <c r="AT34" s="577"/>
      <c r="AU34" s="577"/>
      <c r="AV34" s="577"/>
      <c r="AW34" s="577"/>
      <c r="AX34" s="577"/>
      <c r="AY34" s="577"/>
      <c r="AZ34" s="577"/>
      <c r="BA34" s="577"/>
      <c r="BB34" s="577"/>
      <c r="BC34" s="577"/>
      <c r="BD34" s="577"/>
      <c r="BE34" s="577"/>
      <c r="BF34" s="577"/>
      <c r="BG34" s="577"/>
      <c r="BH34" s="577"/>
      <c r="BI34" s="577"/>
      <c r="BJ34" s="577"/>
    </row>
    <row r="35" spans="2:62">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M35" s="577"/>
      <c r="AN35" s="577"/>
      <c r="AO35" s="577"/>
      <c r="AP35" s="577"/>
      <c r="AQ35" s="577"/>
      <c r="AR35" s="577"/>
      <c r="AS35" s="577"/>
      <c r="AT35" s="577"/>
      <c r="AU35" s="577"/>
      <c r="AV35" s="577"/>
      <c r="AW35" s="577"/>
      <c r="AX35" s="577"/>
      <c r="AY35" s="577"/>
      <c r="AZ35" s="577"/>
      <c r="BA35" s="577"/>
      <c r="BB35" s="577"/>
      <c r="BC35" s="577"/>
      <c r="BD35" s="577"/>
      <c r="BE35" s="577"/>
      <c r="BF35" s="577"/>
      <c r="BG35" s="577"/>
      <c r="BH35" s="577"/>
      <c r="BI35" s="577"/>
      <c r="BJ35" s="577"/>
    </row>
    <row r="36" spans="2:62">
      <c r="G36" s="577"/>
      <c r="H36" s="577"/>
      <c r="I36" s="577"/>
      <c r="J36" s="577"/>
      <c r="K36" s="577"/>
      <c r="L36" s="577"/>
      <c r="M36" s="577"/>
      <c r="N36" s="577"/>
      <c r="O36" s="577"/>
      <c r="P36" s="577"/>
      <c r="Q36" s="577"/>
      <c r="R36" s="577"/>
      <c r="S36" s="577"/>
      <c r="T36" s="577"/>
      <c r="U36" s="577"/>
      <c r="V36" s="577"/>
      <c r="W36" s="577"/>
      <c r="X36" s="577"/>
      <c r="Y36" s="577"/>
      <c r="Z36" s="577"/>
      <c r="AA36" s="577"/>
      <c r="AB36" s="577"/>
      <c r="AC36" s="577"/>
      <c r="AD36" s="577"/>
      <c r="AE36" s="577"/>
      <c r="AF36" s="577"/>
      <c r="AG36" s="577"/>
      <c r="AH36" s="577"/>
      <c r="AI36" s="577"/>
      <c r="AJ36" s="577"/>
      <c r="AK36" s="577"/>
      <c r="AL36" s="577"/>
      <c r="AM36" s="577"/>
      <c r="AN36" s="577"/>
      <c r="AO36" s="577"/>
      <c r="AP36" s="577"/>
      <c r="AQ36" s="577"/>
      <c r="AR36" s="577"/>
      <c r="AS36" s="577"/>
      <c r="AT36" s="577"/>
      <c r="AU36" s="577"/>
      <c r="AV36" s="577"/>
      <c r="AW36" s="577"/>
      <c r="AX36" s="577"/>
      <c r="AY36" s="577"/>
      <c r="AZ36" s="577"/>
      <c r="BA36" s="577"/>
      <c r="BB36" s="577"/>
      <c r="BC36" s="577"/>
      <c r="BD36" s="577"/>
      <c r="BE36" s="577"/>
      <c r="BF36" s="577"/>
      <c r="BG36" s="577"/>
      <c r="BH36" s="577"/>
      <c r="BI36" s="577"/>
      <c r="BJ36" s="577"/>
    </row>
    <row r="37" spans="2:62">
      <c r="G37" s="577"/>
      <c r="H37" s="577"/>
      <c r="I37" s="577"/>
      <c r="J37" s="577"/>
      <c r="K37" s="577"/>
      <c r="L37" s="577"/>
      <c r="M37" s="577"/>
      <c r="N37" s="577"/>
      <c r="O37" s="577"/>
      <c r="P37" s="577"/>
      <c r="Q37" s="577"/>
      <c r="R37" s="577"/>
      <c r="S37" s="577"/>
      <c r="T37" s="577"/>
      <c r="U37" s="577"/>
      <c r="V37" s="577"/>
      <c r="W37" s="577"/>
      <c r="X37" s="577"/>
      <c r="Y37" s="577"/>
      <c r="Z37" s="577"/>
      <c r="AA37" s="577"/>
      <c r="AB37" s="577"/>
      <c r="AC37" s="577"/>
      <c r="AD37" s="577"/>
      <c r="AE37" s="577"/>
      <c r="AF37" s="577"/>
      <c r="AG37" s="577"/>
      <c r="AH37" s="577"/>
      <c r="AI37" s="577"/>
      <c r="AJ37" s="577"/>
      <c r="AK37" s="577"/>
      <c r="AL37" s="577"/>
      <c r="AM37" s="577"/>
      <c r="AN37" s="577"/>
      <c r="AO37" s="577"/>
      <c r="AP37" s="577"/>
      <c r="AQ37" s="577"/>
      <c r="AR37" s="577"/>
      <c r="AS37" s="577"/>
      <c r="AT37" s="577"/>
      <c r="AU37" s="577"/>
      <c r="AV37" s="577"/>
      <c r="AW37" s="577"/>
      <c r="AX37" s="577"/>
      <c r="AY37" s="577"/>
      <c r="AZ37" s="577"/>
      <c r="BA37" s="577"/>
      <c r="BB37" s="577"/>
      <c r="BC37" s="577"/>
      <c r="BD37" s="577"/>
      <c r="BE37" s="577"/>
      <c r="BF37" s="577"/>
      <c r="BG37" s="577"/>
      <c r="BH37" s="577"/>
      <c r="BI37" s="577"/>
      <c r="BJ37" s="577"/>
    </row>
    <row r="38" spans="2:62">
      <c r="G38" s="577"/>
      <c r="H38" s="577"/>
      <c r="I38" s="577"/>
      <c r="J38" s="577"/>
      <c r="K38" s="577"/>
      <c r="L38" s="577"/>
      <c r="M38" s="577"/>
      <c r="N38" s="577"/>
      <c r="O38" s="577"/>
      <c r="P38" s="577"/>
      <c r="Q38" s="577"/>
      <c r="R38" s="577"/>
      <c r="S38" s="577"/>
      <c r="T38" s="577"/>
      <c r="U38" s="577"/>
      <c r="V38" s="577"/>
      <c r="W38" s="577"/>
      <c r="X38" s="577"/>
      <c r="Y38" s="577"/>
      <c r="Z38" s="577"/>
      <c r="AA38" s="577"/>
      <c r="AB38" s="577"/>
      <c r="AC38" s="577"/>
      <c r="AD38" s="577"/>
      <c r="AE38" s="577"/>
      <c r="AF38" s="577"/>
      <c r="AG38" s="577"/>
      <c r="AH38" s="577"/>
      <c r="AI38" s="577"/>
      <c r="AJ38" s="577"/>
      <c r="AK38" s="577"/>
      <c r="AL38" s="577"/>
      <c r="AM38" s="577"/>
      <c r="AN38" s="577"/>
      <c r="AO38" s="577"/>
      <c r="AP38" s="577"/>
      <c r="AQ38" s="577"/>
      <c r="AR38" s="577"/>
      <c r="AS38" s="577"/>
      <c r="AT38" s="577"/>
      <c r="AU38" s="577"/>
      <c r="AV38" s="577"/>
      <c r="AW38" s="577"/>
      <c r="AX38" s="577"/>
      <c r="AY38" s="577"/>
      <c r="AZ38" s="577"/>
      <c r="BA38" s="577"/>
      <c r="BB38" s="577"/>
      <c r="BC38" s="577"/>
      <c r="BD38" s="577"/>
      <c r="BE38" s="577"/>
      <c r="BF38" s="577"/>
      <c r="BG38" s="577"/>
      <c r="BH38" s="577"/>
      <c r="BI38" s="577"/>
      <c r="BJ38" s="577"/>
    </row>
    <row r="39" spans="2:62">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577"/>
      <c r="AV39" s="577"/>
      <c r="AW39" s="577"/>
      <c r="AX39" s="577"/>
      <c r="AY39" s="577"/>
      <c r="AZ39" s="577"/>
      <c r="BA39" s="577"/>
      <c r="BB39" s="577"/>
      <c r="BC39" s="577"/>
      <c r="BD39" s="577"/>
      <c r="BE39" s="577"/>
      <c r="BF39" s="577"/>
      <c r="BG39" s="577"/>
      <c r="BH39" s="577"/>
      <c r="BI39" s="577"/>
      <c r="BJ39" s="577"/>
    </row>
  </sheetData>
  <mergeCells count="1">
    <mergeCell ref="B22:AZ22"/>
  </mergeCells>
  <conditionalFormatting sqref="B24:BJ24 G25:BJ39">
    <cfRule type="cellIs" dxfId="43" priority="2" operator="equal">
      <formula>FALSE</formula>
    </cfRule>
  </conditionalFormatting>
  <conditionalFormatting sqref="BK2:BK22">
    <cfRule type="cellIs" dxfId="42" priority="1" operator="equal">
      <formula>FALSE</formula>
    </cfRule>
  </conditionalFormatting>
  <printOptions horizontalCentered="1"/>
  <pageMargins left="0.43307086614173229" right="0.74803149606299213" top="0.98425196850393704" bottom="0.98425196850393704" header="0.51181102362204722" footer="0.51181102362204722"/>
  <pageSetup paperSize="9" scale="93"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7">
    <tabColor theme="0" tint="-0.34998626667073579"/>
    <pageSetUpPr fitToPage="1"/>
  </sheetPr>
  <dimension ref="A2:AD46"/>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1.25" outlineLevelCol="1"/>
  <cols>
    <col min="1" max="1" width="1.28515625" style="5" customWidth="1"/>
    <col min="2" max="2" width="55.28515625" style="4" customWidth="1"/>
    <col min="3" max="6" width="8.5703125" style="4" hidden="1" customWidth="1" outlineLevel="1"/>
    <col min="7" max="7" width="8.5703125" style="4" customWidth="1" collapsed="1"/>
    <col min="8" max="8" width="8.28515625" style="4" hidden="1" customWidth="1" outlineLevel="1"/>
    <col min="9" max="10" width="8.5703125" style="4" hidden="1" customWidth="1" outlineLevel="1"/>
    <col min="11" max="11" width="8.28515625" style="4" hidden="1" customWidth="1" outlineLevel="1"/>
    <col min="12" max="12" width="8.5703125" style="4" customWidth="1" collapsed="1"/>
    <col min="13" max="13" width="8.28515625" style="17" hidden="1" customWidth="1" outlineLevel="1"/>
    <col min="14" max="16" width="8.5703125" style="4" hidden="1" customWidth="1" outlineLevel="1"/>
    <col min="17" max="17" width="8.5703125" style="4" customWidth="1" collapsed="1"/>
    <col min="18" max="18" width="8.28515625" style="17" hidden="1" customWidth="1" outlineLevel="1"/>
    <col min="19" max="21" width="8.5703125" style="4" hidden="1" customWidth="1" outlineLevel="1"/>
    <col min="22" max="22" width="8.5703125" style="4" customWidth="1" collapsed="1"/>
    <col min="23" max="23" width="8.28515625" style="17" hidden="1" customWidth="1" outlineLevel="1"/>
    <col min="24" max="26" width="8.5703125" style="4" hidden="1" customWidth="1" outlineLevel="1"/>
    <col min="27" max="27" width="8.5703125" style="4" customWidth="1" collapsed="1"/>
    <col min="28" max="28" width="9.28515625" style="1" customWidth="1"/>
    <col min="29" max="16384" width="9.28515625" style="1"/>
  </cols>
  <sheetData>
    <row r="2" spans="1:29" ht="15.75">
      <c r="B2" s="398" t="str">
        <f>names!A1220</f>
        <v>Skonsolidowane sprawozdanie z zysków lub strat i innych całkowitych dochodów</v>
      </c>
      <c r="AB2" s="577"/>
    </row>
    <row r="3" spans="1:29" ht="10.15" customHeight="1">
      <c r="B3" s="31"/>
      <c r="C3" s="31"/>
      <c r="D3" s="31"/>
      <c r="E3" s="31"/>
      <c r="F3" s="31"/>
      <c r="G3" s="31"/>
      <c r="H3" s="34"/>
      <c r="I3" s="31"/>
      <c r="J3" s="31"/>
      <c r="K3" s="34"/>
      <c r="L3" s="31"/>
      <c r="M3" s="49"/>
      <c r="N3" s="31"/>
      <c r="O3" s="31"/>
      <c r="P3" s="31"/>
      <c r="Q3" s="31"/>
      <c r="R3" s="49"/>
      <c r="S3" s="31"/>
      <c r="T3" s="31"/>
      <c r="U3" s="31"/>
      <c r="V3" s="31"/>
      <c r="W3" s="49"/>
      <c r="X3" s="31"/>
      <c r="Y3" s="31"/>
      <c r="Z3" s="31"/>
      <c r="AA3" s="31"/>
      <c r="AB3" s="577"/>
    </row>
    <row r="4" spans="1:29" ht="31.5" customHeight="1">
      <c r="B4" s="15" t="str">
        <f>names!A1222</f>
        <v>Wyszczególnienie, 
mln PLN</v>
      </c>
      <c r="C4" s="15" t="str">
        <f>names!$A499</f>
        <v>I kw.
2013 *</v>
      </c>
      <c r="D4" s="15" t="str">
        <f>names!$A500</f>
        <v>II kw.
2013 *</v>
      </c>
      <c r="E4" s="15" t="str">
        <f>names!$A501</f>
        <v>III kw.
2013 *</v>
      </c>
      <c r="F4" s="15" t="str">
        <f>names!$A502</f>
        <v>IV kw.
2013 *</v>
      </c>
      <c r="G4" s="15" t="str">
        <f>names!$A503</f>
        <v>12 m-cy
2013 *</v>
      </c>
      <c r="H4" s="15" t="str">
        <f>names!$A504</f>
        <v>I kw.
2014</v>
      </c>
      <c r="I4" s="15" t="str">
        <f>names!$A505</f>
        <v>II kw.
2014</v>
      </c>
      <c r="J4" s="15" t="str">
        <f>names!$A506</f>
        <v>III kw.
2014</v>
      </c>
      <c r="K4" s="15" t="str">
        <f>names!$A507</f>
        <v>IV kw.
2014</v>
      </c>
      <c r="L4" s="15" t="str">
        <f>names!$A508</f>
        <v>12 m-cy
2014</v>
      </c>
      <c r="M4" s="15" t="str">
        <f>names!$A509</f>
        <v>I kw.
2015</v>
      </c>
      <c r="N4" s="15" t="str">
        <f>names!$A510</f>
        <v>II kw.
2015</v>
      </c>
      <c r="O4" s="15" t="str">
        <f>names!$A511</f>
        <v>III kw.
2015</v>
      </c>
      <c r="P4" s="15" t="str">
        <f>names!$A512</f>
        <v>IV kw.
2015</v>
      </c>
      <c r="Q4" s="15" t="str">
        <f>names!$A513</f>
        <v>12 m-cy
2015</v>
      </c>
      <c r="R4" s="15" t="str">
        <f>names!$A514</f>
        <v>I kw.
2016</v>
      </c>
      <c r="S4" s="15" t="str">
        <f>names!$A515</f>
        <v>II kw.
2016</v>
      </c>
      <c r="T4" s="15" t="str">
        <f>names!$A516</f>
        <v>III kw.
2016</v>
      </c>
      <c r="U4" s="15" t="str">
        <f>names!$A517</f>
        <v>IV kw.
2016</v>
      </c>
      <c r="V4" s="15" t="str">
        <f>names!$A518</f>
        <v>12 m-cy
2016</v>
      </c>
      <c r="W4" s="15" t="str">
        <f>names!$A519</f>
        <v>I kw.
2017</v>
      </c>
      <c r="X4" s="15" t="str">
        <f>names!$A520</f>
        <v>II kw.
2017</v>
      </c>
      <c r="Y4" s="15" t="str">
        <f>names!$A521</f>
        <v>III kw.
2017</v>
      </c>
      <c r="Z4" s="15" t="str">
        <f>names!$A522</f>
        <v>IV kw.
2017</v>
      </c>
      <c r="AA4" s="15" t="str">
        <f>names!$A523</f>
        <v>12 m-cy
2017</v>
      </c>
      <c r="AB4" s="577"/>
    </row>
    <row r="5" spans="1:29" s="30" customFormat="1" ht="7.15" customHeight="1">
      <c r="A5" s="29"/>
      <c r="B5" s="92"/>
      <c r="C5" s="92"/>
      <c r="D5" s="92"/>
      <c r="E5" s="92"/>
      <c r="F5" s="92"/>
      <c r="G5" s="92"/>
      <c r="H5" s="92"/>
      <c r="I5" s="92"/>
      <c r="J5" s="92"/>
      <c r="K5" s="92"/>
      <c r="L5" s="92"/>
      <c r="M5" s="92"/>
      <c r="N5" s="92"/>
      <c r="O5" s="92"/>
      <c r="P5" s="92"/>
      <c r="Q5" s="92"/>
      <c r="R5" s="92"/>
      <c r="S5" s="92"/>
      <c r="T5" s="92"/>
      <c r="U5" s="92"/>
      <c r="V5" s="92"/>
      <c r="W5" s="92"/>
      <c r="X5" s="92"/>
      <c r="Y5" s="92"/>
      <c r="Z5" s="92"/>
      <c r="AA5" s="92"/>
      <c r="AB5" s="577"/>
      <c r="AC5" s="1"/>
    </row>
    <row r="6" spans="1:29" ht="9" customHeight="1">
      <c r="B6" s="66">
        <f>names!A1224</f>
        <v>0</v>
      </c>
      <c r="C6" s="66"/>
      <c r="D6" s="66"/>
      <c r="E6" s="66"/>
      <c r="F6" s="66"/>
      <c r="G6" s="204"/>
      <c r="H6" s="91"/>
      <c r="I6" s="66"/>
      <c r="J6" s="66"/>
      <c r="K6" s="91"/>
      <c r="L6" s="204"/>
      <c r="M6" s="66"/>
      <c r="N6" s="91"/>
      <c r="O6" s="66"/>
      <c r="P6" s="66"/>
      <c r="Q6" s="204"/>
      <c r="R6" s="66"/>
      <c r="S6" s="91"/>
      <c r="T6" s="66"/>
      <c r="U6" s="66"/>
      <c r="V6" s="204"/>
      <c r="W6" s="66"/>
      <c r="X6" s="91"/>
      <c r="Y6" s="66"/>
      <c r="Z6" s="66"/>
      <c r="AA6" s="204"/>
      <c r="AB6" s="577"/>
    </row>
    <row r="7" spans="1:29" ht="10.5" customHeight="1">
      <c r="B7" s="3" t="str">
        <f>names!A1225</f>
        <v>Przychody ze sprzedaży</v>
      </c>
      <c r="C7" s="154">
        <v>27450</v>
      </c>
      <c r="D7" s="154">
        <v>28221</v>
      </c>
      <c r="E7" s="154">
        <v>30304</v>
      </c>
      <c r="F7" s="154">
        <v>27622</v>
      </c>
      <c r="G7" s="205">
        <v>113597</v>
      </c>
      <c r="H7" s="154">
        <v>24119</v>
      </c>
      <c r="I7" s="154">
        <v>28651</v>
      </c>
      <c r="J7" s="154">
        <v>29160</v>
      </c>
      <c r="K7" s="154">
        <v>24902</v>
      </c>
      <c r="L7" s="205">
        <v>106832</v>
      </c>
      <c r="M7" s="154">
        <v>20005</v>
      </c>
      <c r="N7" s="154">
        <v>24776</v>
      </c>
      <c r="O7" s="154">
        <v>23468</v>
      </c>
      <c r="P7" s="154">
        <v>20087</v>
      </c>
      <c r="Q7" s="205">
        <v>88336</v>
      </c>
      <c r="R7" s="154">
        <v>16213</v>
      </c>
      <c r="S7" s="154">
        <v>19355</v>
      </c>
      <c r="T7" s="154">
        <v>21083</v>
      </c>
      <c r="U7" s="154">
        <v>22902</v>
      </c>
      <c r="V7" s="205">
        <v>79553</v>
      </c>
      <c r="W7" s="154">
        <v>22875</v>
      </c>
      <c r="X7" s="154">
        <v>23025</v>
      </c>
      <c r="Y7" s="154">
        <v>24730</v>
      </c>
      <c r="Z7" s="154">
        <v>24734</v>
      </c>
      <c r="AA7" s="205">
        <v>95364</v>
      </c>
      <c r="AB7" s="577"/>
    </row>
    <row r="8" spans="1:29" ht="10.5" customHeight="1">
      <c r="B8" s="72" t="str">
        <f>names!A1226</f>
        <v>Koszt własny sprzedaży</v>
      </c>
      <c r="C8" s="154">
        <v>-25834</v>
      </c>
      <c r="D8" s="154">
        <v>-27068</v>
      </c>
      <c r="E8" s="154">
        <v>-28381</v>
      </c>
      <c r="F8" s="154">
        <v>-26570</v>
      </c>
      <c r="G8" s="205">
        <v>-107853</v>
      </c>
      <c r="H8" s="154">
        <v>-22821</v>
      </c>
      <c r="I8" s="154">
        <v>-27163</v>
      </c>
      <c r="J8" s="154">
        <v>-26785</v>
      </c>
      <c r="K8" s="154">
        <v>-24241</v>
      </c>
      <c r="L8" s="205">
        <v>-101010</v>
      </c>
      <c r="M8" s="154">
        <v>-17523</v>
      </c>
      <c r="N8" s="154">
        <v>-20880</v>
      </c>
      <c r="O8" s="154">
        <v>-20973</v>
      </c>
      <c r="P8" s="154">
        <v>-18416</v>
      </c>
      <c r="Q8" s="205">
        <v>-77792</v>
      </c>
      <c r="R8" s="154">
        <v>-14574</v>
      </c>
      <c r="S8" s="154">
        <v>-16223</v>
      </c>
      <c r="T8" s="154">
        <v>-18349</v>
      </c>
      <c r="U8" s="154">
        <v>-19077</v>
      </c>
      <c r="V8" s="205">
        <v>-68223</v>
      </c>
      <c r="W8" s="154">
        <v>-19449</v>
      </c>
      <c r="X8" s="154">
        <v>-20151</v>
      </c>
      <c r="Y8" s="154">
        <v>-21060</v>
      </c>
      <c r="Z8" s="154">
        <v>-21106</v>
      </c>
      <c r="AA8" s="205">
        <v>-81766</v>
      </c>
      <c r="AB8" s="577"/>
    </row>
    <row r="9" spans="1:29" ht="10.5" customHeight="1">
      <c r="B9" s="71" t="str">
        <f>names!A1227</f>
        <v>Zysk brutto ze sprzedaży</v>
      </c>
      <c r="C9" s="155">
        <f t="shared" ref="C9:J9" si="0">C7+C8</f>
        <v>1616</v>
      </c>
      <c r="D9" s="155">
        <f t="shared" si="0"/>
        <v>1153</v>
      </c>
      <c r="E9" s="155">
        <f t="shared" si="0"/>
        <v>1923</v>
      </c>
      <c r="F9" s="155">
        <f t="shared" si="0"/>
        <v>1052</v>
      </c>
      <c r="G9" s="206">
        <f t="shared" si="0"/>
        <v>5744</v>
      </c>
      <c r="H9" s="155">
        <f t="shared" si="0"/>
        <v>1298</v>
      </c>
      <c r="I9" s="155">
        <f t="shared" si="0"/>
        <v>1488</v>
      </c>
      <c r="J9" s="155">
        <f t="shared" si="0"/>
        <v>2375</v>
      </c>
      <c r="K9" s="155">
        <f>K7+K8</f>
        <v>661</v>
      </c>
      <c r="L9" s="206">
        <f>L7+L8</f>
        <v>5822</v>
      </c>
      <c r="M9" s="155">
        <f>M7+M8</f>
        <v>2482</v>
      </c>
      <c r="N9" s="155">
        <v>3896</v>
      </c>
      <c r="O9" s="155">
        <v>2495</v>
      </c>
      <c r="P9" s="155">
        <v>1671</v>
      </c>
      <c r="Q9" s="206">
        <v>10544</v>
      </c>
      <c r="R9" s="155">
        <v>1639</v>
      </c>
      <c r="S9" s="155">
        <v>3132</v>
      </c>
      <c r="T9" s="155">
        <v>2734</v>
      </c>
      <c r="U9" s="155">
        <v>3825</v>
      </c>
      <c r="V9" s="206">
        <v>11330</v>
      </c>
      <c r="W9" s="155">
        <v>3426</v>
      </c>
      <c r="X9" s="155">
        <v>2874</v>
      </c>
      <c r="Y9" s="155">
        <v>3670</v>
      </c>
      <c r="Z9" s="155">
        <v>3628</v>
      </c>
      <c r="AA9" s="206">
        <v>13598</v>
      </c>
      <c r="AB9" s="577"/>
    </row>
    <row r="10" spans="1:29" ht="10.5" customHeight="1">
      <c r="B10" s="3" t="str">
        <f>names!A1228</f>
        <v>Koszty sprzedaży</v>
      </c>
      <c r="C10" s="154">
        <v>-943</v>
      </c>
      <c r="D10" s="154">
        <v>-957</v>
      </c>
      <c r="E10" s="154">
        <v>-998</v>
      </c>
      <c r="F10" s="154">
        <v>-985</v>
      </c>
      <c r="G10" s="205">
        <v>-3883</v>
      </c>
      <c r="H10" s="154">
        <v>-915</v>
      </c>
      <c r="I10" s="154">
        <v>-971</v>
      </c>
      <c r="J10" s="154">
        <v>-1021</v>
      </c>
      <c r="K10" s="154">
        <v>-1013</v>
      </c>
      <c r="L10" s="205">
        <v>-3920</v>
      </c>
      <c r="M10" s="154">
        <v>-934</v>
      </c>
      <c r="N10" s="154">
        <v>-986</v>
      </c>
      <c r="O10" s="154">
        <v>-990</v>
      </c>
      <c r="P10" s="154">
        <v>-1061</v>
      </c>
      <c r="Q10" s="205">
        <v>-3971</v>
      </c>
      <c r="R10" s="154">
        <v>-1001</v>
      </c>
      <c r="S10" s="154">
        <v>-1004</v>
      </c>
      <c r="T10" s="154">
        <v>-1054</v>
      </c>
      <c r="U10" s="154">
        <v>-1066</v>
      </c>
      <c r="V10" s="205">
        <v>-4125</v>
      </c>
      <c r="W10" s="154">
        <v>-1037</v>
      </c>
      <c r="X10" s="154">
        <v>-983</v>
      </c>
      <c r="Y10" s="154">
        <v>-1140</v>
      </c>
      <c r="Z10" s="154">
        <v>-1167</v>
      </c>
      <c r="AA10" s="205">
        <v>-4327</v>
      </c>
      <c r="AB10" s="577"/>
    </row>
    <row r="11" spans="1:29" ht="10.5" customHeight="1">
      <c r="B11" s="3" t="str">
        <f>names!A1229</f>
        <v>Koszty ogólnego zarządu</v>
      </c>
      <c r="C11" s="154">
        <v>-354</v>
      </c>
      <c r="D11" s="154">
        <v>-372</v>
      </c>
      <c r="E11" s="154">
        <v>-334</v>
      </c>
      <c r="F11" s="154">
        <v>-391</v>
      </c>
      <c r="G11" s="205">
        <v>-1451</v>
      </c>
      <c r="H11" s="154">
        <v>-346</v>
      </c>
      <c r="I11" s="154">
        <v>-366</v>
      </c>
      <c r="J11" s="154">
        <v>-383</v>
      </c>
      <c r="K11" s="154">
        <v>-417</v>
      </c>
      <c r="L11" s="205">
        <v>-1512</v>
      </c>
      <c r="M11" s="154">
        <v>-388</v>
      </c>
      <c r="N11" s="154">
        <v>-402</v>
      </c>
      <c r="O11" s="154">
        <v>-332</v>
      </c>
      <c r="P11" s="154">
        <v>-430</v>
      </c>
      <c r="Q11" s="205">
        <v>-1552</v>
      </c>
      <c r="R11" s="154">
        <v>-362</v>
      </c>
      <c r="S11" s="154">
        <v>-370</v>
      </c>
      <c r="T11" s="154">
        <v>-323</v>
      </c>
      <c r="U11" s="154">
        <v>-371</v>
      </c>
      <c r="V11" s="205">
        <v>-1426</v>
      </c>
      <c r="W11" s="154">
        <v>-367</v>
      </c>
      <c r="X11" s="154">
        <v>-369</v>
      </c>
      <c r="Y11" s="154">
        <v>-359</v>
      </c>
      <c r="Z11" s="154">
        <v>-442</v>
      </c>
      <c r="AA11" s="205">
        <v>-1537</v>
      </c>
      <c r="AB11" s="577"/>
    </row>
    <row r="12" spans="1:29" ht="10.5" customHeight="1">
      <c r="B12" s="3" t="str">
        <f>names!A1230</f>
        <v>Pozostałe przychody operacyjne</v>
      </c>
      <c r="C12" s="154">
        <v>73</v>
      </c>
      <c r="D12" s="154">
        <v>173</v>
      </c>
      <c r="E12" s="154">
        <v>103</v>
      </c>
      <c r="F12" s="154">
        <v>222</v>
      </c>
      <c r="G12" s="205">
        <v>571</v>
      </c>
      <c r="H12" s="154">
        <v>303</v>
      </c>
      <c r="I12" s="154">
        <v>129</v>
      </c>
      <c r="J12" s="154">
        <v>86</v>
      </c>
      <c r="K12" s="154">
        <v>248</v>
      </c>
      <c r="L12" s="205">
        <v>766</v>
      </c>
      <c r="M12" s="154">
        <v>81</v>
      </c>
      <c r="N12" s="154">
        <v>116</v>
      </c>
      <c r="O12" s="154">
        <v>75</v>
      </c>
      <c r="P12" s="154">
        <v>148</v>
      </c>
      <c r="Q12" s="205">
        <v>420</v>
      </c>
      <c r="R12" s="154">
        <v>198</v>
      </c>
      <c r="S12" s="154">
        <v>718</v>
      </c>
      <c r="T12" s="154">
        <v>444</v>
      </c>
      <c r="U12" s="154">
        <v>803</v>
      </c>
      <c r="V12" s="205">
        <v>2163</v>
      </c>
      <c r="W12" s="154">
        <v>249</v>
      </c>
      <c r="X12" s="154">
        <v>612</v>
      </c>
      <c r="Y12" s="154">
        <v>146</v>
      </c>
      <c r="Z12" s="154">
        <v>236</v>
      </c>
      <c r="AA12" s="205">
        <v>1243</v>
      </c>
      <c r="AB12" s="577"/>
    </row>
    <row r="13" spans="1:29" ht="10.5" customHeight="1">
      <c r="B13" s="3" t="str">
        <f>names!A1231</f>
        <v>Pozostałe koszty operacyjne</v>
      </c>
      <c r="C13" s="154">
        <v>-68</v>
      </c>
      <c r="D13" s="154">
        <v>-141</v>
      </c>
      <c r="E13" s="154">
        <v>-113</v>
      </c>
      <c r="F13" s="154">
        <v>-392</v>
      </c>
      <c r="G13" s="205">
        <v>-714</v>
      </c>
      <c r="H13" s="154">
        <v>-102</v>
      </c>
      <c r="I13" s="154">
        <v>-5118</v>
      </c>
      <c r="J13" s="154">
        <v>-79</v>
      </c>
      <c r="K13" s="154">
        <v>-625</v>
      </c>
      <c r="L13" s="205">
        <v>-5924</v>
      </c>
      <c r="M13" s="154">
        <v>-62</v>
      </c>
      <c r="N13" s="154">
        <v>-534</v>
      </c>
      <c r="O13" s="154">
        <v>-177</v>
      </c>
      <c r="P13" s="154">
        <v>-581</v>
      </c>
      <c r="Q13" s="205">
        <v>-1354</v>
      </c>
      <c r="R13" s="154">
        <v>-81</v>
      </c>
      <c r="S13" s="154">
        <v>-84</v>
      </c>
      <c r="T13" s="154">
        <v>-95</v>
      </c>
      <c r="U13" s="154">
        <v>-447</v>
      </c>
      <c r="V13" s="205">
        <v>-707</v>
      </c>
      <c r="W13" s="154">
        <v>-64</v>
      </c>
      <c r="X13" s="154">
        <v>-69</v>
      </c>
      <c r="Y13" s="154">
        <v>-105</v>
      </c>
      <c r="Z13" s="154">
        <v>-330</v>
      </c>
      <c r="AA13" s="205">
        <v>-568</v>
      </c>
      <c r="AB13" s="577"/>
    </row>
    <row r="14" spans="1:29" ht="10.5" customHeight="1">
      <c r="B14" s="401" t="str">
        <f>names!A1232</f>
        <v>Udział w wyniku finansowym jednostek 
wycenianych metodą praw własności</v>
      </c>
      <c r="C14" s="154">
        <v>10</v>
      </c>
      <c r="D14" s="154">
        <v>4</v>
      </c>
      <c r="E14" s="154">
        <v>20</v>
      </c>
      <c r="F14" s="154">
        <v>6</v>
      </c>
      <c r="G14" s="205">
        <v>40</v>
      </c>
      <c r="H14" s="154">
        <v>16</v>
      </c>
      <c r="I14" s="154">
        <v>21</v>
      </c>
      <c r="J14" s="154">
        <v>23</v>
      </c>
      <c r="K14" s="154">
        <v>-3</v>
      </c>
      <c r="L14" s="205">
        <v>57</v>
      </c>
      <c r="M14" s="154">
        <v>31</v>
      </c>
      <c r="N14" s="154">
        <v>73</v>
      </c>
      <c r="O14" s="154">
        <v>85</v>
      </c>
      <c r="P14" s="154">
        <v>64</v>
      </c>
      <c r="Q14" s="205">
        <v>253</v>
      </c>
      <c r="R14" s="154">
        <v>85</v>
      </c>
      <c r="S14" s="154">
        <v>99</v>
      </c>
      <c r="T14" s="154">
        <v>68</v>
      </c>
      <c r="U14" s="154">
        <v>45</v>
      </c>
      <c r="V14" s="205">
        <v>297</v>
      </c>
      <c r="W14" s="154">
        <v>69</v>
      </c>
      <c r="X14" s="154">
        <v>55</v>
      </c>
      <c r="Y14" s="154">
        <v>62</v>
      </c>
      <c r="Z14" s="154">
        <v>62</v>
      </c>
      <c r="AA14" s="205">
        <v>248</v>
      </c>
      <c r="AB14" s="577"/>
    </row>
    <row r="15" spans="1:29" ht="10.5" customHeight="1">
      <c r="B15" s="71" t="str">
        <f>names!A1233</f>
        <v>Zysk/(Strata) z działalności operacyjnej</v>
      </c>
      <c r="C15" s="155">
        <f t="shared" ref="C15:J15" si="1">C9+C10+C11+C12+C13+C14</f>
        <v>334</v>
      </c>
      <c r="D15" s="155">
        <f t="shared" si="1"/>
        <v>-140</v>
      </c>
      <c r="E15" s="155">
        <f t="shared" si="1"/>
        <v>601</v>
      </c>
      <c r="F15" s="155">
        <f t="shared" si="1"/>
        <v>-488</v>
      </c>
      <c r="G15" s="206">
        <f t="shared" si="1"/>
        <v>307</v>
      </c>
      <c r="H15" s="155">
        <f t="shared" si="1"/>
        <v>254</v>
      </c>
      <c r="I15" s="155">
        <f t="shared" si="1"/>
        <v>-4817</v>
      </c>
      <c r="J15" s="155">
        <f t="shared" si="1"/>
        <v>1001</v>
      </c>
      <c r="K15" s="155">
        <f>K9+K10+K11+K12+K13+K14</f>
        <v>-1149</v>
      </c>
      <c r="L15" s="206">
        <f>L9+L10+L11+L12+L13+L14</f>
        <v>-4711</v>
      </c>
      <c r="M15" s="155">
        <f>M9+M10+M11+M12+M13+M14</f>
        <v>1210</v>
      </c>
      <c r="N15" s="155">
        <v>2163</v>
      </c>
      <c r="O15" s="155">
        <v>1156</v>
      </c>
      <c r="P15" s="155">
        <v>-189</v>
      </c>
      <c r="Q15" s="206">
        <v>4340</v>
      </c>
      <c r="R15" s="155">
        <v>478</v>
      </c>
      <c r="S15" s="155">
        <v>2491</v>
      </c>
      <c r="T15" s="155">
        <v>1774</v>
      </c>
      <c r="U15" s="155">
        <v>2789</v>
      </c>
      <c r="V15" s="206">
        <v>7532</v>
      </c>
      <c r="W15" s="155">
        <v>2276</v>
      </c>
      <c r="X15" s="155">
        <v>2120</v>
      </c>
      <c r="Y15" s="155">
        <v>2274</v>
      </c>
      <c r="Z15" s="155">
        <v>1987</v>
      </c>
      <c r="AA15" s="206">
        <v>8657</v>
      </c>
      <c r="AB15" s="577"/>
    </row>
    <row r="16" spans="1:29" ht="10.5" customHeight="1">
      <c r="B16" s="3" t="str">
        <f>names!A1234</f>
        <v>Przychody finansowe</v>
      </c>
      <c r="C16" s="154">
        <v>117</v>
      </c>
      <c r="D16" s="154">
        <v>105</v>
      </c>
      <c r="E16" s="154">
        <v>376</v>
      </c>
      <c r="F16" s="154">
        <v>178</v>
      </c>
      <c r="G16" s="205">
        <v>460</v>
      </c>
      <c r="H16" s="154">
        <v>48</v>
      </c>
      <c r="I16" s="154">
        <v>34</v>
      </c>
      <c r="J16" s="154">
        <v>132</v>
      </c>
      <c r="K16" s="154">
        <v>140</v>
      </c>
      <c r="L16" s="205">
        <v>354</v>
      </c>
      <c r="M16" s="154">
        <v>89</v>
      </c>
      <c r="N16" s="154">
        <v>70</v>
      </c>
      <c r="O16" s="154">
        <v>101</v>
      </c>
      <c r="P16" s="154">
        <v>130</v>
      </c>
      <c r="Q16" s="205">
        <v>390</v>
      </c>
      <c r="R16" s="154">
        <v>45</v>
      </c>
      <c r="S16" s="154">
        <v>54</v>
      </c>
      <c r="T16" s="154">
        <v>194</v>
      </c>
      <c r="U16" s="154">
        <v>123</v>
      </c>
      <c r="V16" s="205">
        <v>248</v>
      </c>
      <c r="W16" s="154">
        <v>679</v>
      </c>
      <c r="X16" s="154">
        <v>201</v>
      </c>
      <c r="Y16" s="154">
        <v>214</v>
      </c>
      <c r="Z16" s="154">
        <v>733</v>
      </c>
      <c r="AA16" s="205">
        <v>1760</v>
      </c>
      <c r="AB16" s="577"/>
    </row>
    <row r="17" spans="1:30" ht="10.5" customHeight="1">
      <c r="B17" s="3" t="str">
        <f>names!A1235</f>
        <v>Koszty finansowe</v>
      </c>
      <c r="C17" s="154">
        <v>-338</v>
      </c>
      <c r="D17" s="154">
        <v>-230</v>
      </c>
      <c r="E17" s="154">
        <v>-171</v>
      </c>
      <c r="F17" s="154">
        <f>-188+1</f>
        <v>-187</v>
      </c>
      <c r="G17" s="205">
        <v>-610</v>
      </c>
      <c r="H17" s="154">
        <v>-148</v>
      </c>
      <c r="I17" s="154">
        <v>-947</v>
      </c>
      <c r="J17" s="154">
        <v>-389</v>
      </c>
      <c r="K17" s="154">
        <v>-405</v>
      </c>
      <c r="L17" s="205">
        <v>-1889</v>
      </c>
      <c r="M17" s="154">
        <v>-265</v>
      </c>
      <c r="N17" s="154">
        <v>-282</v>
      </c>
      <c r="O17" s="154">
        <v>-202</v>
      </c>
      <c r="P17" s="154">
        <v>-283</v>
      </c>
      <c r="Q17" s="205">
        <v>-1032</v>
      </c>
      <c r="R17" s="154">
        <v>-89</v>
      </c>
      <c r="S17" s="154">
        <v>-509</v>
      </c>
      <c r="T17" s="154">
        <v>-41</v>
      </c>
      <c r="U17" s="154">
        <v>-422</v>
      </c>
      <c r="V17" s="205">
        <v>-893</v>
      </c>
      <c r="W17" s="154">
        <v>-416</v>
      </c>
      <c r="X17" s="154">
        <v>-198</v>
      </c>
      <c r="Y17" s="154">
        <v>-428</v>
      </c>
      <c r="Z17" s="154">
        <v>-725</v>
      </c>
      <c r="AA17" s="205">
        <v>-1700</v>
      </c>
      <c r="AB17" s="577"/>
    </row>
    <row r="18" spans="1:30" s="56" customFormat="1" ht="10.5" customHeight="1">
      <c r="A18" s="65"/>
      <c r="B18" s="70" t="str">
        <f>names!A1236</f>
        <v>Przychody i koszty finansowe netto</v>
      </c>
      <c r="C18" s="156">
        <f t="shared" ref="C18:J18" si="2">C17+C16</f>
        <v>-221</v>
      </c>
      <c r="D18" s="156">
        <f t="shared" si="2"/>
        <v>-125</v>
      </c>
      <c r="E18" s="156">
        <f t="shared" si="2"/>
        <v>205</v>
      </c>
      <c r="F18" s="156">
        <f t="shared" si="2"/>
        <v>-9</v>
      </c>
      <c r="G18" s="207">
        <f t="shared" si="2"/>
        <v>-150</v>
      </c>
      <c r="H18" s="156">
        <f t="shared" si="2"/>
        <v>-100</v>
      </c>
      <c r="I18" s="156">
        <f t="shared" si="2"/>
        <v>-913</v>
      </c>
      <c r="J18" s="156">
        <f t="shared" si="2"/>
        <v>-257</v>
      </c>
      <c r="K18" s="156">
        <f>K17+K16</f>
        <v>-265</v>
      </c>
      <c r="L18" s="207">
        <f>L17+L16</f>
        <v>-1535</v>
      </c>
      <c r="M18" s="156">
        <f>M17+M16</f>
        <v>-176</v>
      </c>
      <c r="N18" s="156">
        <v>-212</v>
      </c>
      <c r="O18" s="156">
        <v>-101</v>
      </c>
      <c r="P18" s="156">
        <v>-153</v>
      </c>
      <c r="Q18" s="207">
        <v>-642</v>
      </c>
      <c r="R18" s="156">
        <v>-44</v>
      </c>
      <c r="S18" s="156">
        <v>-455</v>
      </c>
      <c r="T18" s="156">
        <v>153</v>
      </c>
      <c r="U18" s="156">
        <v>-299</v>
      </c>
      <c r="V18" s="207">
        <v>-645</v>
      </c>
      <c r="W18" s="156">
        <v>263</v>
      </c>
      <c r="X18" s="156">
        <v>3</v>
      </c>
      <c r="Y18" s="156">
        <v>-214</v>
      </c>
      <c r="Z18" s="156">
        <v>8</v>
      </c>
      <c r="AA18" s="207">
        <v>60</v>
      </c>
      <c r="AB18" s="577"/>
      <c r="AC18" s="1"/>
      <c r="AD18" s="1"/>
    </row>
    <row r="19" spans="1:30" ht="10.5" customHeight="1">
      <c r="B19" s="71" t="str">
        <f>names!A1237</f>
        <v>Zysk/(Strata) przed opodatkowaniem</v>
      </c>
      <c r="C19" s="155">
        <f t="shared" ref="C19:J19" si="3">C15+C18</f>
        <v>113</v>
      </c>
      <c r="D19" s="155">
        <f t="shared" si="3"/>
        <v>-265</v>
      </c>
      <c r="E19" s="155">
        <f t="shared" si="3"/>
        <v>806</v>
      </c>
      <c r="F19" s="155">
        <f t="shared" si="3"/>
        <v>-497</v>
      </c>
      <c r="G19" s="206">
        <f t="shared" si="3"/>
        <v>157</v>
      </c>
      <c r="H19" s="155">
        <f t="shared" si="3"/>
        <v>154</v>
      </c>
      <c r="I19" s="155">
        <f t="shared" si="3"/>
        <v>-5730</v>
      </c>
      <c r="J19" s="155">
        <f t="shared" si="3"/>
        <v>744</v>
      </c>
      <c r="K19" s="155">
        <f>K15+K18</f>
        <v>-1414</v>
      </c>
      <c r="L19" s="206">
        <f>L15+L18</f>
        <v>-6246</v>
      </c>
      <c r="M19" s="155">
        <f>M15+M18</f>
        <v>1034</v>
      </c>
      <c r="N19" s="155">
        <v>1951</v>
      </c>
      <c r="O19" s="155">
        <v>1055</v>
      </c>
      <c r="P19" s="155">
        <v>-342</v>
      </c>
      <c r="Q19" s="206">
        <v>3698</v>
      </c>
      <c r="R19" s="155">
        <v>434</v>
      </c>
      <c r="S19" s="155">
        <v>2036</v>
      </c>
      <c r="T19" s="155">
        <v>1927</v>
      </c>
      <c r="U19" s="155">
        <v>2490</v>
      </c>
      <c r="V19" s="206">
        <v>6887</v>
      </c>
      <c r="W19" s="155">
        <v>2539</v>
      </c>
      <c r="X19" s="155">
        <v>2123</v>
      </c>
      <c r="Y19" s="155">
        <v>2060</v>
      </c>
      <c r="Z19" s="155">
        <v>1995</v>
      </c>
      <c r="AA19" s="206">
        <v>8717</v>
      </c>
      <c r="AB19" s="577"/>
    </row>
    <row r="20" spans="1:30" ht="10.5" customHeight="1" thickBot="1">
      <c r="B20" s="73" t="str">
        <f>names!A1238</f>
        <v>Podatek dochodowy</v>
      </c>
      <c r="C20" s="157">
        <v>32</v>
      </c>
      <c r="D20" s="157">
        <v>36</v>
      </c>
      <c r="E20" s="157">
        <v>-154</v>
      </c>
      <c r="F20" s="157">
        <v>19</v>
      </c>
      <c r="G20" s="208">
        <v>-67</v>
      </c>
      <c r="H20" s="157">
        <v>-28</v>
      </c>
      <c r="I20" s="157">
        <v>340</v>
      </c>
      <c r="J20" s="157">
        <v>-129</v>
      </c>
      <c r="K20" s="157">
        <v>235</v>
      </c>
      <c r="L20" s="208">
        <v>418</v>
      </c>
      <c r="M20" s="157">
        <v>-166</v>
      </c>
      <c r="N20" s="157">
        <v>-402</v>
      </c>
      <c r="O20" s="157">
        <v>-170</v>
      </c>
      <c r="P20" s="157">
        <v>273</v>
      </c>
      <c r="Q20" s="208">
        <v>-465</v>
      </c>
      <c r="R20" s="157">
        <v>-98</v>
      </c>
      <c r="S20" s="157">
        <v>-244</v>
      </c>
      <c r="T20" s="157">
        <v>-358</v>
      </c>
      <c r="U20" s="157">
        <v>-447</v>
      </c>
      <c r="V20" s="208">
        <v>-1147</v>
      </c>
      <c r="W20" s="157">
        <v>-451</v>
      </c>
      <c r="X20" s="157">
        <v>-369</v>
      </c>
      <c r="Y20" s="157">
        <v>-363</v>
      </c>
      <c r="Z20" s="157">
        <v>-361</v>
      </c>
      <c r="AA20" s="208">
        <v>-1544</v>
      </c>
      <c r="AB20" s="577"/>
    </row>
    <row r="21" spans="1:30" ht="10.5" customHeight="1" thickBot="1">
      <c r="B21" s="69" t="str">
        <f>names!A1239</f>
        <v>Zysk/(Strata) netto</v>
      </c>
      <c r="C21" s="158">
        <f t="shared" ref="C21:J21" si="4">C19+C20</f>
        <v>145</v>
      </c>
      <c r="D21" s="158">
        <f t="shared" si="4"/>
        <v>-229</v>
      </c>
      <c r="E21" s="158">
        <f t="shared" si="4"/>
        <v>652</v>
      </c>
      <c r="F21" s="158">
        <f t="shared" si="4"/>
        <v>-478</v>
      </c>
      <c r="G21" s="209">
        <f t="shared" si="4"/>
        <v>90</v>
      </c>
      <c r="H21" s="158">
        <f t="shared" si="4"/>
        <v>126</v>
      </c>
      <c r="I21" s="158">
        <f t="shared" si="4"/>
        <v>-5390</v>
      </c>
      <c r="J21" s="158">
        <f t="shared" si="4"/>
        <v>615</v>
      </c>
      <c r="K21" s="158">
        <f>K19+K20</f>
        <v>-1179</v>
      </c>
      <c r="L21" s="209">
        <f>L19+L20</f>
        <v>-5828</v>
      </c>
      <c r="M21" s="158">
        <f>M19+M20</f>
        <v>868</v>
      </c>
      <c r="N21" s="158">
        <v>1549</v>
      </c>
      <c r="O21" s="158">
        <v>885</v>
      </c>
      <c r="P21" s="158">
        <v>-69</v>
      </c>
      <c r="Q21" s="209">
        <v>3233</v>
      </c>
      <c r="R21" s="158">
        <v>336</v>
      </c>
      <c r="S21" s="158">
        <v>1792</v>
      </c>
      <c r="T21" s="158">
        <v>1569</v>
      </c>
      <c r="U21" s="158">
        <v>2043</v>
      </c>
      <c r="V21" s="209">
        <v>5740</v>
      </c>
      <c r="W21" s="158">
        <v>2088</v>
      </c>
      <c r="X21" s="158">
        <v>1754</v>
      </c>
      <c r="Y21" s="158">
        <v>1697</v>
      </c>
      <c r="Z21" s="158">
        <v>1634</v>
      </c>
      <c r="AA21" s="209">
        <v>7173</v>
      </c>
      <c r="AB21" s="577"/>
    </row>
    <row r="22" spans="1:30" s="55" customFormat="1" ht="4.5" customHeight="1">
      <c r="A22" s="57"/>
      <c r="B22" s="76">
        <f>names!A1240</f>
        <v>0</v>
      </c>
      <c r="C22" s="159"/>
      <c r="D22" s="159"/>
      <c r="E22" s="159"/>
      <c r="F22" s="159"/>
      <c r="G22" s="210"/>
      <c r="H22" s="159"/>
      <c r="I22" s="159"/>
      <c r="J22" s="159"/>
      <c r="K22" s="159"/>
      <c r="L22" s="210"/>
      <c r="M22" s="159"/>
      <c r="N22" s="159"/>
      <c r="O22" s="159"/>
      <c r="P22" s="159"/>
      <c r="Q22" s="210"/>
      <c r="R22" s="159"/>
      <c r="S22" s="159"/>
      <c r="T22" s="159"/>
      <c r="U22" s="159"/>
      <c r="V22" s="210"/>
      <c r="W22" s="159"/>
      <c r="X22" s="159"/>
      <c r="Y22" s="159"/>
      <c r="Z22" s="159"/>
      <c r="AA22" s="210"/>
      <c r="AB22" s="577"/>
      <c r="AC22" s="1"/>
      <c r="AD22" s="1"/>
    </row>
    <row r="23" spans="1:30" s="56" customFormat="1" ht="10.5" customHeight="1">
      <c r="A23" s="65"/>
      <c r="B23" s="66" t="str">
        <f>names!A1241</f>
        <v>Składniki innych całkowitych dochodów:</v>
      </c>
      <c r="C23" s="154"/>
      <c r="D23" s="154"/>
      <c r="E23" s="154"/>
      <c r="F23" s="154"/>
      <c r="G23" s="205"/>
      <c r="H23" s="154"/>
      <c r="I23" s="154"/>
      <c r="J23" s="154"/>
      <c r="K23" s="154"/>
      <c r="L23" s="205"/>
      <c r="M23" s="154"/>
      <c r="N23" s="154"/>
      <c r="O23" s="154"/>
      <c r="P23" s="154"/>
      <c r="Q23" s="205"/>
      <c r="R23" s="154"/>
      <c r="S23" s="154"/>
      <c r="T23" s="154"/>
      <c r="U23" s="154"/>
      <c r="V23" s="205"/>
      <c r="W23" s="154"/>
      <c r="X23" s="154"/>
      <c r="Y23" s="154"/>
      <c r="Z23" s="154"/>
      <c r="AA23" s="205"/>
      <c r="AB23" s="577"/>
      <c r="AC23" s="1"/>
      <c r="AD23" s="1"/>
    </row>
    <row r="24" spans="1:30" ht="10.5" customHeight="1">
      <c r="B24" s="66" t="str">
        <f>names!A1242</f>
        <v>które nie zostaną przeklasyfikowane na zyski lub straty</v>
      </c>
      <c r="C24" s="160">
        <v>-7</v>
      </c>
      <c r="D24" s="160">
        <v>-2</v>
      </c>
      <c r="E24" s="160">
        <v>-1</v>
      </c>
      <c r="F24" s="160">
        <v>4</v>
      </c>
      <c r="G24" s="211">
        <v>-6</v>
      </c>
      <c r="H24" s="160">
        <v>0</v>
      </c>
      <c r="I24" s="160">
        <v>0</v>
      </c>
      <c r="J24" s="160">
        <v>0</v>
      </c>
      <c r="K24" s="160">
        <v>-16</v>
      </c>
      <c r="L24" s="211">
        <v>-16</v>
      </c>
      <c r="M24" s="160">
        <v>0</v>
      </c>
      <c r="N24" s="160">
        <v>0</v>
      </c>
      <c r="O24" s="160">
        <v>0</v>
      </c>
      <c r="P24" s="160">
        <v>3</v>
      </c>
      <c r="Q24" s="211">
        <v>3</v>
      </c>
      <c r="R24" s="160">
        <v>0</v>
      </c>
      <c r="S24" s="160">
        <v>0</v>
      </c>
      <c r="T24" s="160">
        <v>0</v>
      </c>
      <c r="U24" s="160">
        <v>-4</v>
      </c>
      <c r="V24" s="211">
        <v>-4</v>
      </c>
      <c r="W24" s="160">
        <v>0</v>
      </c>
      <c r="X24" s="160">
        <v>0</v>
      </c>
      <c r="Y24" s="160">
        <v>0</v>
      </c>
      <c r="Z24" s="160">
        <v>-13</v>
      </c>
      <c r="AA24" s="211">
        <v>-13</v>
      </c>
      <c r="AB24" s="577"/>
    </row>
    <row r="25" spans="1:30" ht="10.5" customHeight="1">
      <c r="B25" s="80" t="str">
        <f>names!A1243</f>
        <v>wycena nieruchomości inwestycyjnej do wartości godziwej na moment przeklasyfikowania</v>
      </c>
      <c r="C25" s="161">
        <v>-9</v>
      </c>
      <c r="D25" s="161">
        <v>-2</v>
      </c>
      <c r="E25" s="161">
        <v>-1</v>
      </c>
      <c r="F25" s="161">
        <v>0</v>
      </c>
      <c r="G25" s="212">
        <v>-12</v>
      </c>
      <c r="H25" s="161">
        <v>0</v>
      </c>
      <c r="I25" s="161">
        <v>0</v>
      </c>
      <c r="J25" s="161">
        <v>0</v>
      </c>
      <c r="K25" s="161">
        <v>0</v>
      </c>
      <c r="L25" s="212">
        <v>0</v>
      </c>
      <c r="M25" s="161">
        <v>0</v>
      </c>
      <c r="N25" s="161">
        <v>0</v>
      </c>
      <c r="O25" s="161">
        <v>0</v>
      </c>
      <c r="P25" s="161">
        <v>0</v>
      </c>
      <c r="Q25" s="212">
        <v>0</v>
      </c>
      <c r="R25" s="161">
        <v>0</v>
      </c>
      <c r="S25" s="161">
        <v>0</v>
      </c>
      <c r="T25" s="161">
        <v>0</v>
      </c>
      <c r="U25" s="161">
        <v>6</v>
      </c>
      <c r="V25" s="212">
        <v>6</v>
      </c>
      <c r="W25" s="161">
        <v>0</v>
      </c>
      <c r="X25" s="161">
        <v>0</v>
      </c>
      <c r="Y25" s="161">
        <v>0</v>
      </c>
      <c r="Z25" s="161">
        <v>0</v>
      </c>
      <c r="AA25" s="212">
        <v>0</v>
      </c>
      <c r="AB25" s="577"/>
    </row>
    <row r="26" spans="1:30" ht="10.5" customHeight="1">
      <c r="B26" s="80" t="str">
        <f>names!A1244</f>
        <v>zyski i straty aktuarialne</v>
      </c>
      <c r="C26" s="161">
        <v>0</v>
      </c>
      <c r="D26" s="161">
        <v>0</v>
      </c>
      <c r="E26" s="161">
        <v>0</v>
      </c>
      <c r="F26" s="161">
        <v>4</v>
      </c>
      <c r="G26" s="212">
        <v>4</v>
      </c>
      <c r="H26" s="161">
        <v>0</v>
      </c>
      <c r="I26" s="161">
        <v>0</v>
      </c>
      <c r="J26" s="161">
        <v>0</v>
      </c>
      <c r="K26" s="161">
        <v>-20</v>
      </c>
      <c r="L26" s="212">
        <v>-20</v>
      </c>
      <c r="M26" s="161">
        <v>0</v>
      </c>
      <c r="N26" s="161">
        <v>0</v>
      </c>
      <c r="O26" s="161">
        <v>0</v>
      </c>
      <c r="P26" s="161">
        <v>4</v>
      </c>
      <c r="Q26" s="212">
        <v>4</v>
      </c>
      <c r="R26" s="161">
        <v>0</v>
      </c>
      <c r="S26" s="161">
        <v>0</v>
      </c>
      <c r="T26" s="161">
        <v>0</v>
      </c>
      <c r="U26" s="161">
        <v>-10</v>
      </c>
      <c r="V26" s="212">
        <v>-10</v>
      </c>
      <c r="W26" s="161">
        <v>0</v>
      </c>
      <c r="X26" s="161">
        <v>0</v>
      </c>
      <c r="Y26" s="161">
        <v>0</v>
      </c>
      <c r="Z26" s="161">
        <v>-15</v>
      </c>
      <c r="AA26" s="212">
        <v>-15</v>
      </c>
      <c r="AB26" s="577"/>
    </row>
    <row r="27" spans="1:30" s="56" customFormat="1" ht="10.5" customHeight="1">
      <c r="A27" s="65"/>
      <c r="B27" s="80" t="str">
        <f>names!A1245</f>
        <v>podatek odroczony</v>
      </c>
      <c r="C27" s="161">
        <v>2</v>
      </c>
      <c r="D27" s="161">
        <v>0</v>
      </c>
      <c r="E27" s="161">
        <v>0</v>
      </c>
      <c r="F27" s="161">
        <v>0</v>
      </c>
      <c r="G27" s="212">
        <v>2</v>
      </c>
      <c r="H27" s="161">
        <v>0</v>
      </c>
      <c r="I27" s="161">
        <v>0</v>
      </c>
      <c r="J27" s="161">
        <v>0</v>
      </c>
      <c r="K27" s="161">
        <v>4</v>
      </c>
      <c r="L27" s="212">
        <v>4</v>
      </c>
      <c r="M27" s="161">
        <v>0</v>
      </c>
      <c r="N27" s="161">
        <v>0</v>
      </c>
      <c r="O27" s="161">
        <v>0</v>
      </c>
      <c r="P27" s="161">
        <v>-1</v>
      </c>
      <c r="Q27" s="212">
        <v>-1</v>
      </c>
      <c r="R27" s="161">
        <v>0</v>
      </c>
      <c r="S27" s="161">
        <v>0</v>
      </c>
      <c r="T27" s="161">
        <v>0</v>
      </c>
      <c r="U27" s="161">
        <v>0</v>
      </c>
      <c r="V27" s="212">
        <v>0</v>
      </c>
      <c r="W27" s="161">
        <v>0</v>
      </c>
      <c r="X27" s="161">
        <v>0</v>
      </c>
      <c r="Y27" s="161">
        <v>0</v>
      </c>
      <c r="Z27" s="161">
        <v>2</v>
      </c>
      <c r="AA27" s="212">
        <v>2</v>
      </c>
      <c r="AB27" s="577"/>
      <c r="AC27" s="1"/>
      <c r="AD27" s="1"/>
    </row>
    <row r="28" spans="1:30" ht="10.5" customHeight="1">
      <c r="B28" s="66" t="str">
        <f>names!A1246</f>
        <v>które zostały lub zostaną przeklasyfikowane na zyski lub straty</v>
      </c>
      <c r="C28" s="160">
        <v>120</v>
      </c>
      <c r="D28" s="160">
        <v>73</v>
      </c>
      <c r="E28" s="160">
        <v>-48</v>
      </c>
      <c r="F28" s="160">
        <v>-339</v>
      </c>
      <c r="G28" s="211">
        <v>-194</v>
      </c>
      <c r="H28" s="160">
        <v>-65</v>
      </c>
      <c r="I28" s="160">
        <v>590</v>
      </c>
      <c r="J28" s="160">
        <v>-67</v>
      </c>
      <c r="K28" s="160">
        <v>-1113</v>
      </c>
      <c r="L28" s="211">
        <v>-655</v>
      </c>
      <c r="M28" s="160">
        <v>100</v>
      </c>
      <c r="N28" s="160">
        <v>210</v>
      </c>
      <c r="O28" s="160">
        <v>809</v>
      </c>
      <c r="P28" s="160">
        <v>208</v>
      </c>
      <c r="Q28" s="211">
        <v>1327</v>
      </c>
      <c r="R28" s="160">
        <v>-120</v>
      </c>
      <c r="S28" s="160">
        <v>257</v>
      </c>
      <c r="T28" s="160">
        <v>-80</v>
      </c>
      <c r="U28" s="160">
        <v>164</v>
      </c>
      <c r="V28" s="211">
        <v>221</v>
      </c>
      <c r="W28" s="160">
        <v>76</v>
      </c>
      <c r="X28" s="160">
        <v>108</v>
      </c>
      <c r="Y28" s="160">
        <v>187</v>
      </c>
      <c r="Z28" s="160">
        <v>-235</v>
      </c>
      <c r="AA28" s="211">
        <v>136</v>
      </c>
      <c r="AB28" s="577"/>
    </row>
    <row r="29" spans="1:30" ht="10.5" customHeight="1">
      <c r="B29" s="80" t="str">
        <f>names!A1247</f>
        <v>instrumenty zabezpieczające</v>
      </c>
      <c r="C29" s="161">
        <v>23</v>
      </c>
      <c r="D29" s="161">
        <v>-109</v>
      </c>
      <c r="E29" s="161">
        <v>188</v>
      </c>
      <c r="F29" s="161">
        <v>158</v>
      </c>
      <c r="G29" s="212">
        <v>260</v>
      </c>
      <c r="H29" s="161">
        <v>-100</v>
      </c>
      <c r="I29" s="161">
        <v>-125</v>
      </c>
      <c r="J29" s="161">
        <v>-100</v>
      </c>
      <c r="K29" s="161">
        <v>-1433</v>
      </c>
      <c r="L29" s="212">
        <v>-1758</v>
      </c>
      <c r="M29" s="161">
        <v>296</v>
      </c>
      <c r="N29" s="161">
        <v>28</v>
      </c>
      <c r="O29" s="161">
        <v>1008</v>
      </c>
      <c r="P29" s="161">
        <v>198</v>
      </c>
      <c r="Q29" s="212">
        <v>1530</v>
      </c>
      <c r="R29" s="161">
        <v>-131</v>
      </c>
      <c r="S29" s="161">
        <v>-213</v>
      </c>
      <c r="T29" s="161">
        <v>277</v>
      </c>
      <c r="U29" s="161">
        <v>-329</v>
      </c>
      <c r="V29" s="212">
        <v>-396</v>
      </c>
      <c r="W29" s="161">
        <v>832</v>
      </c>
      <c r="X29" s="161">
        <v>41</v>
      </c>
      <c r="Y29" s="161">
        <v>-86</v>
      </c>
      <c r="Z29" s="161">
        <v>142</v>
      </c>
      <c r="AA29" s="212">
        <v>929</v>
      </c>
      <c r="AB29" s="577"/>
    </row>
    <row r="30" spans="1:30" ht="10.5" customHeight="1">
      <c r="B30" s="80" t="str">
        <f>names!A1248</f>
        <v>różnice kursowe z przeliczenia jednostek działających za granicą</v>
      </c>
      <c r="C30" s="161">
        <v>101</v>
      </c>
      <c r="D30" s="161">
        <v>162</v>
      </c>
      <c r="E30" s="161">
        <v>-201</v>
      </c>
      <c r="F30" s="161">
        <v>-467</v>
      </c>
      <c r="G30" s="212">
        <v>-405</v>
      </c>
      <c r="H30" s="161">
        <v>16</v>
      </c>
      <c r="I30" s="161">
        <v>691</v>
      </c>
      <c r="J30" s="161">
        <v>14</v>
      </c>
      <c r="K30" s="161">
        <v>48</v>
      </c>
      <c r="L30" s="212">
        <v>769</v>
      </c>
      <c r="M30" s="161">
        <v>-140</v>
      </c>
      <c r="N30" s="161">
        <v>188</v>
      </c>
      <c r="O30" s="161">
        <v>-7</v>
      </c>
      <c r="P30" s="161">
        <v>47</v>
      </c>
      <c r="Q30" s="212">
        <v>88</v>
      </c>
      <c r="R30" s="161">
        <v>-14</v>
      </c>
      <c r="S30" s="161">
        <v>430</v>
      </c>
      <c r="T30" s="161">
        <v>-300</v>
      </c>
      <c r="U30" s="161">
        <v>426</v>
      </c>
      <c r="V30" s="212">
        <v>542</v>
      </c>
      <c r="W30" s="161">
        <v>-598</v>
      </c>
      <c r="X30" s="161">
        <v>78</v>
      </c>
      <c r="Y30" s="161">
        <v>253</v>
      </c>
      <c r="Z30" s="161">
        <v>-351</v>
      </c>
      <c r="AA30" s="212">
        <v>-618</v>
      </c>
      <c r="AB30" s="577"/>
    </row>
    <row r="31" spans="1:30" ht="10.5" customHeight="1">
      <c r="B31" s="81" t="str">
        <f>names!A1249</f>
        <v>podatek odroczony</v>
      </c>
      <c r="C31" s="162">
        <v>-4</v>
      </c>
      <c r="D31" s="162">
        <v>20</v>
      </c>
      <c r="E31" s="162">
        <v>-35</v>
      </c>
      <c r="F31" s="162">
        <v>-30</v>
      </c>
      <c r="G31" s="213">
        <v>-49</v>
      </c>
      <c r="H31" s="162">
        <v>19</v>
      </c>
      <c r="I31" s="162">
        <v>24</v>
      </c>
      <c r="J31" s="162">
        <v>19</v>
      </c>
      <c r="K31" s="162">
        <v>272</v>
      </c>
      <c r="L31" s="213">
        <v>334</v>
      </c>
      <c r="M31" s="162">
        <v>-56</v>
      </c>
      <c r="N31" s="162">
        <v>-6</v>
      </c>
      <c r="O31" s="162">
        <v>-192</v>
      </c>
      <c r="P31" s="162">
        <v>-37</v>
      </c>
      <c r="Q31" s="213">
        <v>-291</v>
      </c>
      <c r="R31" s="162">
        <v>25</v>
      </c>
      <c r="S31" s="162">
        <v>40</v>
      </c>
      <c r="T31" s="162">
        <v>-57</v>
      </c>
      <c r="U31" s="162">
        <v>67</v>
      </c>
      <c r="V31" s="213">
        <v>75</v>
      </c>
      <c r="W31" s="162">
        <v>-158</v>
      </c>
      <c r="X31" s="162">
        <v>-11</v>
      </c>
      <c r="Y31" s="162">
        <v>20</v>
      </c>
      <c r="Z31" s="162">
        <v>-26</v>
      </c>
      <c r="AA31" s="213">
        <v>-175</v>
      </c>
      <c r="AB31" s="577"/>
    </row>
    <row r="32" spans="1:30" ht="10.5" customHeight="1" thickBot="1">
      <c r="B32" s="71" t="str">
        <f>names!A1250</f>
        <v>Suma składników innych całkowitych dochodów</v>
      </c>
      <c r="C32" s="155">
        <v>113</v>
      </c>
      <c r="D32" s="155">
        <v>71</v>
      </c>
      <c r="E32" s="155">
        <v>-49</v>
      </c>
      <c r="F32" s="155">
        <v>-335</v>
      </c>
      <c r="G32" s="206">
        <v>-200</v>
      </c>
      <c r="H32" s="155">
        <v>-65</v>
      </c>
      <c r="I32" s="155">
        <v>590</v>
      </c>
      <c r="J32" s="155">
        <v>-67</v>
      </c>
      <c r="K32" s="155">
        <f>K28+K24</f>
        <v>-1129</v>
      </c>
      <c r="L32" s="206">
        <v>-671</v>
      </c>
      <c r="M32" s="155">
        <v>100</v>
      </c>
      <c r="N32" s="155">
        <v>210</v>
      </c>
      <c r="O32" s="155">
        <v>809</v>
      </c>
      <c r="P32" s="155">
        <v>211</v>
      </c>
      <c r="Q32" s="206">
        <v>1330</v>
      </c>
      <c r="R32" s="155">
        <v>-120</v>
      </c>
      <c r="S32" s="155">
        <v>257</v>
      </c>
      <c r="T32" s="155">
        <v>-80</v>
      </c>
      <c r="U32" s="155">
        <v>160</v>
      </c>
      <c r="V32" s="206">
        <v>217</v>
      </c>
      <c r="W32" s="155">
        <v>76</v>
      </c>
      <c r="X32" s="155">
        <v>108</v>
      </c>
      <c r="Y32" s="155">
        <v>187</v>
      </c>
      <c r="Z32" s="155">
        <v>-248</v>
      </c>
      <c r="AA32" s="206">
        <v>123</v>
      </c>
      <c r="AB32" s="577"/>
    </row>
    <row r="33" spans="1:30" ht="10.5" customHeight="1" thickBot="1">
      <c r="B33" s="69" t="str">
        <f>names!A1251</f>
        <v>Całkowite dochody netto</v>
      </c>
      <c r="C33" s="158">
        <v>258</v>
      </c>
      <c r="D33" s="158">
        <v>-158</v>
      </c>
      <c r="E33" s="158">
        <v>603</v>
      </c>
      <c r="F33" s="158">
        <f>-814+1</f>
        <v>-813</v>
      </c>
      <c r="G33" s="209">
        <v>-110</v>
      </c>
      <c r="H33" s="158">
        <v>61</v>
      </c>
      <c r="I33" s="158">
        <v>-4800</v>
      </c>
      <c r="J33" s="158">
        <v>548</v>
      </c>
      <c r="K33" s="158">
        <v>-2308</v>
      </c>
      <c r="L33" s="209">
        <v>-6499</v>
      </c>
      <c r="M33" s="158">
        <v>968</v>
      </c>
      <c r="N33" s="158">
        <v>1759</v>
      </c>
      <c r="O33" s="158">
        <v>1694</v>
      </c>
      <c r="P33" s="158">
        <v>142</v>
      </c>
      <c r="Q33" s="209">
        <v>4563</v>
      </c>
      <c r="R33" s="158">
        <v>216</v>
      </c>
      <c r="S33" s="158">
        <v>2049</v>
      </c>
      <c r="T33" s="158">
        <v>1489</v>
      </c>
      <c r="U33" s="158">
        <v>2203</v>
      </c>
      <c r="V33" s="209">
        <v>5957</v>
      </c>
      <c r="W33" s="158">
        <v>2164</v>
      </c>
      <c r="X33" s="158">
        <v>1862</v>
      </c>
      <c r="Y33" s="158">
        <v>1884</v>
      </c>
      <c r="Z33" s="158">
        <v>1386</v>
      </c>
      <c r="AA33" s="209">
        <v>7296</v>
      </c>
      <c r="AB33" s="577"/>
    </row>
    <row r="34" spans="1:30" s="55" customFormat="1" ht="5.25" customHeight="1">
      <c r="A34" s="57"/>
      <c r="B34" s="74">
        <f>names!A1252</f>
        <v>0</v>
      </c>
      <c r="C34" s="163"/>
      <c r="D34" s="163"/>
      <c r="E34" s="163"/>
      <c r="F34" s="163"/>
      <c r="G34" s="214"/>
      <c r="H34" s="163"/>
      <c r="I34" s="163"/>
      <c r="J34" s="163"/>
      <c r="K34" s="163"/>
      <c r="L34" s="214"/>
      <c r="M34" s="163"/>
      <c r="N34" s="163"/>
      <c r="O34" s="163"/>
      <c r="P34" s="163"/>
      <c r="Q34" s="214"/>
      <c r="R34" s="163"/>
      <c r="S34" s="163"/>
      <c r="T34" s="163"/>
      <c r="U34" s="163"/>
      <c r="V34" s="214"/>
      <c r="W34" s="163"/>
      <c r="X34" s="163"/>
      <c r="Y34" s="163"/>
      <c r="Z34" s="163"/>
      <c r="AA34" s="214"/>
      <c r="AB34" s="577"/>
      <c r="AC34" s="1"/>
      <c r="AD34" s="1"/>
    </row>
    <row r="35" spans="1:30" ht="10.5" customHeight="1">
      <c r="B35" s="66" t="str">
        <f>names!A1253</f>
        <v>Zysk/(Strata) netto przypadający na</v>
      </c>
      <c r="C35" s="160">
        <v>145</v>
      </c>
      <c r="D35" s="160">
        <v>-229</v>
      </c>
      <c r="E35" s="160">
        <v>652</v>
      </c>
      <c r="F35" s="160">
        <f>-479+1</f>
        <v>-478</v>
      </c>
      <c r="G35" s="211">
        <v>90</v>
      </c>
      <c r="H35" s="160">
        <v>126</v>
      </c>
      <c r="I35" s="160">
        <v>-5390</v>
      </c>
      <c r="J35" s="160">
        <v>615</v>
      </c>
      <c r="K35" s="160">
        <v>-1179</v>
      </c>
      <c r="L35" s="211">
        <v>-5828</v>
      </c>
      <c r="M35" s="160">
        <v>868</v>
      </c>
      <c r="N35" s="160">
        <v>1549</v>
      </c>
      <c r="O35" s="160">
        <v>885</v>
      </c>
      <c r="P35" s="160">
        <v>-69</v>
      </c>
      <c r="Q35" s="211">
        <v>3233</v>
      </c>
      <c r="R35" s="160">
        <v>336</v>
      </c>
      <c r="S35" s="160">
        <v>1792</v>
      </c>
      <c r="T35" s="160">
        <v>1569</v>
      </c>
      <c r="U35" s="160">
        <v>2043</v>
      </c>
      <c r="V35" s="211">
        <v>5740</v>
      </c>
      <c r="W35" s="160">
        <v>2088</v>
      </c>
      <c r="X35" s="160">
        <v>1754</v>
      </c>
      <c r="Y35" s="160">
        <v>1697</v>
      </c>
      <c r="Z35" s="160">
        <v>1634</v>
      </c>
      <c r="AA35" s="211">
        <v>7173</v>
      </c>
      <c r="AB35" s="577"/>
    </row>
    <row r="36" spans="1:30" s="26" customFormat="1" ht="10.5" customHeight="1">
      <c r="A36" s="82"/>
      <c r="B36" s="80" t="str">
        <f>names!A1254</f>
        <v>akcjonariuszy jednostki dominującej</v>
      </c>
      <c r="C36" s="161">
        <v>149</v>
      </c>
      <c r="D36" s="161">
        <v>-207</v>
      </c>
      <c r="E36" s="161">
        <v>655</v>
      </c>
      <c r="F36" s="161">
        <v>-421</v>
      </c>
      <c r="G36" s="212">
        <v>176</v>
      </c>
      <c r="H36" s="161">
        <v>64</v>
      </c>
      <c r="I36" s="161">
        <v>-5197</v>
      </c>
      <c r="J36" s="161">
        <v>538</v>
      </c>
      <c r="K36" s="161">
        <v>-1216</v>
      </c>
      <c r="L36" s="212">
        <v>-5811</v>
      </c>
      <c r="M36" s="161">
        <v>756</v>
      </c>
      <c r="N36" s="161">
        <v>1367</v>
      </c>
      <c r="O36" s="161">
        <v>795</v>
      </c>
      <c r="P36" s="161">
        <v>-81</v>
      </c>
      <c r="Q36" s="212">
        <v>2837</v>
      </c>
      <c r="R36" s="161">
        <v>337</v>
      </c>
      <c r="S36" s="161">
        <v>1608</v>
      </c>
      <c r="T36" s="161">
        <v>1527</v>
      </c>
      <c r="U36" s="161">
        <v>1789</v>
      </c>
      <c r="V36" s="212">
        <v>5261</v>
      </c>
      <c r="W36" s="161">
        <v>1920</v>
      </c>
      <c r="X36" s="161">
        <v>1541</v>
      </c>
      <c r="Y36" s="161">
        <v>1603</v>
      </c>
      <c r="Z36" s="161">
        <v>1591</v>
      </c>
      <c r="AA36" s="212">
        <v>6655</v>
      </c>
      <c r="AB36" s="577"/>
      <c r="AC36" s="1"/>
      <c r="AD36" s="1"/>
    </row>
    <row r="37" spans="1:30" s="26" customFormat="1" ht="10.5" customHeight="1">
      <c r="A37" s="82"/>
      <c r="B37" s="80" t="str">
        <f>names!A1255</f>
        <v>akcjonariuszy/udziałowców niekontrolujących</v>
      </c>
      <c r="C37" s="161">
        <v>-4</v>
      </c>
      <c r="D37" s="161">
        <v>-22</v>
      </c>
      <c r="E37" s="161">
        <v>-3</v>
      </c>
      <c r="F37" s="161">
        <f>-58+1</f>
        <v>-57</v>
      </c>
      <c r="G37" s="212">
        <v>-86</v>
      </c>
      <c r="H37" s="161">
        <v>62</v>
      </c>
      <c r="I37" s="161">
        <v>-193</v>
      </c>
      <c r="J37" s="161">
        <v>77</v>
      </c>
      <c r="K37" s="161">
        <v>37</v>
      </c>
      <c r="L37" s="212">
        <v>-17</v>
      </c>
      <c r="M37" s="161">
        <v>112</v>
      </c>
      <c r="N37" s="161">
        <v>182</v>
      </c>
      <c r="O37" s="161">
        <v>90</v>
      </c>
      <c r="P37" s="161">
        <v>12</v>
      </c>
      <c r="Q37" s="212">
        <v>396</v>
      </c>
      <c r="R37" s="161">
        <v>-1</v>
      </c>
      <c r="S37" s="161">
        <v>184</v>
      </c>
      <c r="T37" s="161">
        <v>42</v>
      </c>
      <c r="U37" s="161">
        <v>254</v>
      </c>
      <c r="V37" s="212">
        <v>479</v>
      </c>
      <c r="W37" s="161">
        <v>168</v>
      </c>
      <c r="X37" s="161">
        <v>213</v>
      </c>
      <c r="Y37" s="161">
        <v>94</v>
      </c>
      <c r="Z37" s="161">
        <v>43</v>
      </c>
      <c r="AA37" s="212">
        <v>518</v>
      </c>
      <c r="AB37" s="577"/>
      <c r="AC37" s="1"/>
      <c r="AD37" s="1"/>
    </row>
    <row r="38" spans="1:30" s="79" customFormat="1" ht="10.5" customHeight="1">
      <c r="A38" s="77"/>
      <c r="B38" s="78">
        <f>names!A1256</f>
        <v>0</v>
      </c>
      <c r="C38" s="164"/>
      <c r="D38" s="164"/>
      <c r="E38" s="164"/>
      <c r="F38" s="164"/>
      <c r="G38" s="215"/>
      <c r="H38" s="164"/>
      <c r="I38" s="164"/>
      <c r="J38" s="164"/>
      <c r="K38" s="164"/>
      <c r="L38" s="215"/>
      <c r="M38" s="164"/>
      <c r="N38" s="164"/>
      <c r="O38" s="164"/>
      <c r="P38" s="164"/>
      <c r="Q38" s="215"/>
      <c r="R38" s="164"/>
      <c r="S38" s="164"/>
      <c r="T38" s="164"/>
      <c r="U38" s="164"/>
      <c r="V38" s="215"/>
      <c r="W38" s="164"/>
      <c r="X38" s="164"/>
      <c r="Y38" s="164"/>
      <c r="Z38" s="164"/>
      <c r="AA38" s="215"/>
      <c r="AB38" s="577"/>
      <c r="AC38" s="1"/>
      <c r="AD38" s="1"/>
    </row>
    <row r="39" spans="1:30" ht="10.5" customHeight="1">
      <c r="B39" s="66" t="str">
        <f>names!A1257</f>
        <v>Całkowite dochody netto przypadające na</v>
      </c>
      <c r="C39" s="160">
        <v>258</v>
      </c>
      <c r="D39" s="160">
        <v>-158</v>
      </c>
      <c r="E39" s="160">
        <v>603</v>
      </c>
      <c r="F39" s="160">
        <f>-814+1</f>
        <v>-813</v>
      </c>
      <c r="G39" s="211">
        <v>-110</v>
      </c>
      <c r="H39" s="160">
        <v>61</v>
      </c>
      <c r="I39" s="160">
        <v>-4800</v>
      </c>
      <c r="J39" s="160">
        <v>548</v>
      </c>
      <c r="K39" s="160">
        <f>K40+K41</f>
        <v>-2308</v>
      </c>
      <c r="L39" s="211">
        <v>-6499</v>
      </c>
      <c r="M39" s="160">
        <v>968</v>
      </c>
      <c r="N39" s="160">
        <v>1759</v>
      </c>
      <c r="O39" s="160">
        <v>1694</v>
      </c>
      <c r="P39" s="160">
        <v>142</v>
      </c>
      <c r="Q39" s="211">
        <v>4563</v>
      </c>
      <c r="R39" s="160">
        <v>216</v>
      </c>
      <c r="S39" s="160">
        <v>2049</v>
      </c>
      <c r="T39" s="160">
        <v>1489</v>
      </c>
      <c r="U39" s="160">
        <v>2203</v>
      </c>
      <c r="V39" s="211">
        <v>5957</v>
      </c>
      <c r="W39" s="160">
        <v>2164</v>
      </c>
      <c r="X39" s="160">
        <v>1862</v>
      </c>
      <c r="Y39" s="160">
        <v>1884</v>
      </c>
      <c r="Z39" s="160">
        <v>1386</v>
      </c>
      <c r="AA39" s="211">
        <v>7296</v>
      </c>
      <c r="AB39" s="577"/>
    </row>
    <row r="40" spans="1:30" s="26" customFormat="1" ht="10.5" customHeight="1">
      <c r="A40" s="82"/>
      <c r="B40" s="80" t="str">
        <f>names!A1258</f>
        <v>akcjonariuszy jednostki dominującej</v>
      </c>
      <c r="C40" s="161">
        <v>277</v>
      </c>
      <c r="D40" s="161">
        <v>-186</v>
      </c>
      <c r="E40" s="161">
        <v>634</v>
      </c>
      <c r="F40" s="161">
        <v>-613</v>
      </c>
      <c r="G40" s="212">
        <v>112</v>
      </c>
      <c r="H40" s="161">
        <v>-55</v>
      </c>
      <c r="I40" s="161">
        <v>-4597</v>
      </c>
      <c r="J40" s="161">
        <v>455</v>
      </c>
      <c r="K40" s="161">
        <v>-2387</v>
      </c>
      <c r="L40" s="212">
        <v>-6584</v>
      </c>
      <c r="M40" s="161">
        <v>929</v>
      </c>
      <c r="N40" s="161">
        <v>1521</v>
      </c>
      <c r="O40" s="161">
        <v>1576</v>
      </c>
      <c r="P40" s="161">
        <v>81</v>
      </c>
      <c r="Q40" s="212">
        <v>4107</v>
      </c>
      <c r="R40" s="161">
        <v>254</v>
      </c>
      <c r="S40" s="161">
        <v>1781</v>
      </c>
      <c r="T40" s="161">
        <v>1508</v>
      </c>
      <c r="U40" s="161">
        <v>1902</v>
      </c>
      <c r="V40" s="212">
        <v>5445</v>
      </c>
      <c r="W40" s="161">
        <v>2101</v>
      </c>
      <c r="X40" s="161">
        <v>1529</v>
      </c>
      <c r="Y40" s="161">
        <v>1717</v>
      </c>
      <c r="Z40" s="161">
        <v>1370</v>
      </c>
      <c r="AA40" s="212">
        <v>6717</v>
      </c>
      <c r="AB40" s="577"/>
      <c r="AC40" s="1"/>
      <c r="AD40" s="1"/>
    </row>
    <row r="41" spans="1:30" s="26" customFormat="1" ht="10.5" customHeight="1">
      <c r="A41" s="82"/>
      <c r="B41" s="80" t="str">
        <f>names!A1259</f>
        <v>akcjonariuszy/udziałowców niekontrolujących</v>
      </c>
      <c r="C41" s="161">
        <v>-19</v>
      </c>
      <c r="D41" s="161">
        <v>28</v>
      </c>
      <c r="E41" s="161">
        <v>-31</v>
      </c>
      <c r="F41" s="161">
        <f>-201+1</f>
        <v>-200</v>
      </c>
      <c r="G41" s="212">
        <v>-222</v>
      </c>
      <c r="H41" s="161">
        <v>116</v>
      </c>
      <c r="I41" s="161">
        <v>-203</v>
      </c>
      <c r="J41" s="161">
        <v>93</v>
      </c>
      <c r="K41" s="161">
        <v>79</v>
      </c>
      <c r="L41" s="212">
        <v>85</v>
      </c>
      <c r="M41" s="161">
        <v>39</v>
      </c>
      <c r="N41" s="161">
        <v>238</v>
      </c>
      <c r="O41" s="161">
        <v>118</v>
      </c>
      <c r="P41" s="161">
        <v>61</v>
      </c>
      <c r="Q41" s="212">
        <v>456</v>
      </c>
      <c r="R41" s="161">
        <v>-38</v>
      </c>
      <c r="S41" s="161">
        <v>268</v>
      </c>
      <c r="T41" s="161">
        <v>-19</v>
      </c>
      <c r="U41" s="161">
        <v>301</v>
      </c>
      <c r="V41" s="212">
        <v>512</v>
      </c>
      <c r="W41" s="161">
        <v>63</v>
      </c>
      <c r="X41" s="161">
        <v>333</v>
      </c>
      <c r="Y41" s="161">
        <v>167</v>
      </c>
      <c r="Z41" s="161">
        <v>16</v>
      </c>
      <c r="AA41" s="212">
        <v>579</v>
      </c>
      <c r="AB41" s="577"/>
      <c r="AC41" s="1"/>
      <c r="AD41" s="1"/>
    </row>
    <row r="42" spans="1:30" s="55" customFormat="1" ht="5.25" customHeight="1">
      <c r="A42" s="57"/>
      <c r="B42" s="75">
        <f>names!A1260</f>
        <v>0</v>
      </c>
      <c r="C42" s="165"/>
      <c r="D42" s="165"/>
      <c r="E42" s="165"/>
      <c r="F42" s="165"/>
      <c r="G42" s="216"/>
      <c r="H42" s="165"/>
      <c r="I42" s="165"/>
      <c r="J42" s="165"/>
      <c r="K42" s="165"/>
      <c r="L42" s="216"/>
      <c r="M42" s="165"/>
      <c r="N42" s="165"/>
      <c r="O42" s="165"/>
      <c r="P42" s="165"/>
      <c r="Q42" s="216"/>
      <c r="R42" s="165"/>
      <c r="S42" s="165"/>
      <c r="T42" s="165"/>
      <c r="U42" s="165"/>
      <c r="V42" s="216"/>
      <c r="W42" s="165"/>
      <c r="X42" s="165"/>
      <c r="Y42" s="165"/>
      <c r="Z42" s="165"/>
      <c r="AA42" s="216"/>
      <c r="AB42" s="577"/>
      <c r="AC42" s="1"/>
      <c r="AD42" s="1"/>
    </row>
    <row r="43" spans="1:30" ht="23.25" thickBot="1">
      <c r="B43" s="73" t="str">
        <f>names!A1261</f>
        <v>Zysk/(Strata) netto i rozwodniony zysk/(strata) netto na jedną akcję przypadający akcjonariuszom jednostki dominującej (w PLN na akcję)</v>
      </c>
      <c r="C43" s="167">
        <v>0.35</v>
      </c>
      <c r="D43" s="167">
        <v>-0.48</v>
      </c>
      <c r="E43" s="167">
        <v>1.54</v>
      </c>
      <c r="F43" s="167">
        <v>-0.99</v>
      </c>
      <c r="G43" s="217">
        <v>0.41</v>
      </c>
      <c r="H43" s="167">
        <v>0.15</v>
      </c>
      <c r="I43" s="167">
        <v>-12.15</v>
      </c>
      <c r="J43" s="167">
        <v>1.26</v>
      </c>
      <c r="K43" s="167">
        <v>-2.85</v>
      </c>
      <c r="L43" s="217">
        <v>-13.59</v>
      </c>
      <c r="M43" s="167">
        <v>1.77</v>
      </c>
      <c r="N43" s="167">
        <v>3.19</v>
      </c>
      <c r="O43" s="167">
        <v>1.86</v>
      </c>
      <c r="P43" s="167">
        <v>-0.19</v>
      </c>
      <c r="Q43" s="217">
        <v>6.63</v>
      </c>
      <c r="R43" s="167">
        <v>0.79</v>
      </c>
      <c r="S43" s="167">
        <v>3.76</v>
      </c>
      <c r="T43" s="167">
        <v>3.57</v>
      </c>
      <c r="U43" s="167">
        <v>4.18</v>
      </c>
      <c r="V43" s="217">
        <v>12.3</v>
      </c>
      <c r="W43" s="167">
        <v>4.49</v>
      </c>
      <c r="X43" s="167">
        <v>3.6</v>
      </c>
      <c r="Y43" s="167">
        <v>3.75</v>
      </c>
      <c r="Z43" s="167">
        <v>3.72</v>
      </c>
      <c r="AA43" s="217">
        <v>15.56</v>
      </c>
      <c r="AB43" s="577"/>
    </row>
    <row r="44" spans="1:30" ht="24.75" customHeight="1">
      <c r="B44" s="1008" t="str">
        <f>names!A1262</f>
        <v>*) Dane przekształcone – zmiana metody konsolidacji spółek Basell ORLEN Polyolefines Sp. z o.o. i Płocki Park Przemysłowo-Technologiczny S.A. zgodnie z MSSF 11.</v>
      </c>
      <c r="C44" s="1009"/>
      <c r="D44" s="1009"/>
      <c r="E44" s="1009"/>
      <c r="F44" s="1009"/>
      <c r="G44" s="1009"/>
      <c r="H44" s="1009"/>
      <c r="I44" s="1009"/>
      <c r="J44" s="1009"/>
      <c r="K44" s="1009"/>
      <c r="L44" s="1009"/>
      <c r="M44" s="1009"/>
      <c r="N44" s="1009"/>
      <c r="O44" s="1009"/>
      <c r="P44" s="1009"/>
      <c r="Q44" s="1009"/>
      <c r="R44" s="1009"/>
      <c r="S44" s="1009"/>
      <c r="T44" s="1009"/>
      <c r="U44" s="1009"/>
      <c r="V44" s="1009"/>
      <c r="W44" s="1009"/>
      <c r="X44" s="1009"/>
      <c r="Y44" s="1009"/>
      <c r="Z44" s="1009"/>
      <c r="AA44" s="1009"/>
      <c r="AB44" s="577"/>
    </row>
    <row r="45" spans="1:30" ht="13.5" customHeight="1"/>
    <row r="46" spans="1:30" ht="11.25" customHeight="1">
      <c r="B46" s="577"/>
      <c r="C46" s="577"/>
      <c r="D46" s="577"/>
      <c r="E46" s="577"/>
      <c r="F46" s="577"/>
      <c r="G46" s="577"/>
      <c r="H46" s="577"/>
      <c r="I46" s="577"/>
      <c r="J46" s="577"/>
      <c r="K46" s="577"/>
      <c r="L46" s="577"/>
      <c r="M46" s="577"/>
      <c r="N46" s="577"/>
      <c r="O46" s="577"/>
      <c r="P46" s="577"/>
      <c r="Q46" s="577"/>
      <c r="R46" s="577"/>
      <c r="S46" s="577"/>
      <c r="T46" s="577"/>
      <c r="U46" s="577"/>
      <c r="V46" s="577"/>
      <c r="W46" s="577"/>
      <c r="X46" s="577"/>
      <c r="Y46" s="577"/>
      <c r="Z46" s="577"/>
      <c r="AA46" s="577"/>
    </row>
  </sheetData>
  <mergeCells count="1">
    <mergeCell ref="B44:AA44"/>
  </mergeCells>
  <conditionalFormatting sqref="B46:AA46">
    <cfRule type="cellIs" dxfId="41" priority="2" operator="equal">
      <formula>FALSE</formula>
    </cfRule>
  </conditionalFormatting>
  <conditionalFormatting sqref="AB2:AB44">
    <cfRule type="cellIs" dxfId="40" priority="1" operator="equal">
      <formula>FALSE</formula>
    </cfRule>
  </conditionalFormatting>
  <printOptions horizontalCentered="1"/>
  <pageMargins left="0.39370078740157483" right="0.35433070866141736" top="0.98425196850393704" bottom="0.98425196850393704" header="0.51181102362204722" footer="0.51181102362204722"/>
  <pageSetup paperSize="9" scale="97"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34998626667073579"/>
    <pageSetUpPr fitToPage="1"/>
  </sheetPr>
  <dimension ref="A2:I53"/>
  <sheetViews>
    <sheetView showGridLines="0" view="pageBreakPreview" zoomScaleNormal="100" zoomScaleSheetLayoutView="100" workbookViewId="0">
      <pane xSplit="2" ySplit="4" topLeftCell="C17" activePane="bottomRight" state="frozen"/>
      <selection activeCell="B7" sqref="B7"/>
      <selection pane="topRight" activeCell="B7" sqref="B7"/>
      <selection pane="bottomLeft" activeCell="B7" sqref="B7"/>
      <selection pane="bottomRight"/>
    </sheetView>
  </sheetViews>
  <sheetFormatPr defaultColWidth="9.28515625" defaultRowHeight="11.25"/>
  <cols>
    <col min="1" max="1" width="1.28515625" style="5" customWidth="1"/>
    <col min="2" max="2" width="83" style="4" customWidth="1"/>
    <col min="3" max="3" width="8.28515625" style="17" customWidth="1"/>
    <col min="4" max="7" width="8.5703125" style="4" customWidth="1"/>
    <col min="8" max="16384" width="9.28515625" style="1"/>
  </cols>
  <sheetData>
    <row r="2" spans="1:9" ht="15.75">
      <c r="B2" s="398" t="str">
        <f>names!A1264</f>
        <v>Skonsolidowane sprawozdanie z zysków lub strat i innych całkowitych dochodów</v>
      </c>
      <c r="H2" s="577"/>
    </row>
    <row r="3" spans="1:9" ht="10.15" customHeight="1">
      <c r="B3" s="31"/>
      <c r="C3" s="49"/>
      <c r="D3" s="31"/>
      <c r="E3" s="31"/>
      <c r="F3" s="31"/>
      <c r="G3" s="31"/>
      <c r="H3" s="577"/>
    </row>
    <row r="4" spans="1:9" ht="33" customHeight="1">
      <c r="B4" s="15" t="str">
        <f>names!A1266</f>
        <v>Wyszczególnienie, 
mln PLN</v>
      </c>
      <c r="C4" s="15" t="str">
        <f>names!$A524</f>
        <v>I kw.
2018</v>
      </c>
      <c r="D4" s="15" t="str">
        <f>names!$A525</f>
        <v>II kw.
2018</v>
      </c>
      <c r="E4" s="15" t="str">
        <f>names!$A526</f>
        <v>III kw.
2018</v>
      </c>
      <c r="F4" s="15" t="str">
        <f>names!$A1620</f>
        <v>IV kw.
2018 *</v>
      </c>
      <c r="G4" s="15" t="str">
        <f>names!$A1621</f>
        <v>12 m-cy
2018 *</v>
      </c>
      <c r="H4" s="577"/>
    </row>
    <row r="5" spans="1:9" s="30" customFormat="1" ht="7.15" customHeight="1">
      <c r="A5" s="29"/>
      <c r="B5" s="92"/>
      <c r="C5" s="92"/>
      <c r="D5" s="92"/>
      <c r="E5" s="92"/>
      <c r="F5" s="92"/>
      <c r="G5" s="92"/>
      <c r="H5" s="577"/>
      <c r="I5" s="1"/>
    </row>
    <row r="6" spans="1:9" ht="9.75" customHeight="1">
      <c r="B6" s="3" t="str">
        <f>names!A1268</f>
        <v>Przychody ze sprzedaży</v>
      </c>
      <c r="C6" s="154">
        <v>23241</v>
      </c>
      <c r="D6" s="154">
        <v>26701</v>
      </c>
      <c r="E6" s="154">
        <v>30344</v>
      </c>
      <c r="F6" s="154">
        <v>29420</v>
      </c>
      <c r="G6" s="205">
        <v>109706</v>
      </c>
      <c r="H6" s="577"/>
    </row>
    <row r="7" spans="1:9" s="26" customFormat="1" ht="9.75" customHeight="1">
      <c r="A7" s="82"/>
      <c r="B7" s="80" t="str">
        <f>names!A1269</f>
        <v>przychody ze sprzedaży produktów i usług</v>
      </c>
      <c r="C7" s="161">
        <v>19092</v>
      </c>
      <c r="D7" s="161">
        <v>21830</v>
      </c>
      <c r="E7" s="161">
        <v>25509</v>
      </c>
      <c r="F7" s="161">
        <v>24583</v>
      </c>
      <c r="G7" s="212">
        <v>91014</v>
      </c>
      <c r="H7" s="577"/>
      <c r="I7" s="1"/>
    </row>
    <row r="8" spans="1:9" s="26" customFormat="1" ht="9.75" customHeight="1">
      <c r="A8" s="82"/>
      <c r="B8" s="80" t="str">
        <f>names!A1270</f>
        <v>przychody ze sprzedaży towarów i materiałów</v>
      </c>
      <c r="C8" s="161">
        <v>4149</v>
      </c>
      <c r="D8" s="161">
        <v>4871</v>
      </c>
      <c r="E8" s="161">
        <v>4835</v>
      </c>
      <c r="F8" s="161">
        <v>4837</v>
      </c>
      <c r="G8" s="212">
        <v>18692</v>
      </c>
      <c r="H8" s="577"/>
      <c r="I8" s="1"/>
    </row>
    <row r="9" spans="1:9" ht="9.75" customHeight="1">
      <c r="B9" s="72" t="str">
        <f>names!A1271</f>
        <v>Koszt własny sprzedaży</v>
      </c>
      <c r="C9" s="154">
        <v>-20436</v>
      </c>
      <c r="D9" s="154">
        <v>-23169</v>
      </c>
      <c r="E9" s="154">
        <v>-26495</v>
      </c>
      <c r="F9" s="154">
        <v>-27165</v>
      </c>
      <c r="G9" s="205">
        <v>-97265</v>
      </c>
      <c r="H9" s="577"/>
    </row>
    <row r="10" spans="1:9" s="26" customFormat="1" ht="9.75" customHeight="1">
      <c r="A10" s="82"/>
      <c r="B10" s="455" t="str">
        <f>names!A1272</f>
        <v>koszt wytworzenia sprzedanych produktów i usług</v>
      </c>
      <c r="C10" s="161">
        <v>-16723</v>
      </c>
      <c r="D10" s="161">
        <v>-18794</v>
      </c>
      <c r="E10" s="161">
        <v>-22264</v>
      </c>
      <c r="F10" s="161">
        <v>-23000</v>
      </c>
      <c r="G10" s="212">
        <v>-80781</v>
      </c>
      <c r="H10" s="577"/>
      <c r="I10" s="1"/>
    </row>
    <row r="11" spans="1:9" s="26" customFormat="1" ht="9.75" customHeight="1">
      <c r="A11" s="82"/>
      <c r="B11" s="455" t="str">
        <f>names!A1273</f>
        <v>wartość sprzedanych towarów i materiałów</v>
      </c>
      <c r="C11" s="161">
        <v>-3713</v>
      </c>
      <c r="D11" s="161">
        <v>-4375</v>
      </c>
      <c r="E11" s="161">
        <v>-4231</v>
      </c>
      <c r="F11" s="161">
        <v>-4165</v>
      </c>
      <c r="G11" s="212">
        <v>-16484</v>
      </c>
      <c r="H11" s="577"/>
      <c r="I11" s="1"/>
    </row>
    <row r="12" spans="1:9" ht="9.75" customHeight="1">
      <c r="B12" s="71" t="str">
        <f>names!A1274</f>
        <v>Zysk brutto ze sprzedaży</v>
      </c>
      <c r="C12" s="155">
        <v>2805</v>
      </c>
      <c r="D12" s="155">
        <v>3532</v>
      </c>
      <c r="E12" s="155">
        <v>3849</v>
      </c>
      <c r="F12" s="155">
        <v>2255</v>
      </c>
      <c r="G12" s="206">
        <v>12441</v>
      </c>
      <c r="H12" s="577"/>
    </row>
    <row r="13" spans="1:9" ht="9.75" customHeight="1">
      <c r="B13" s="3" t="str">
        <f>names!A1275</f>
        <v>Koszty sprzedaży</v>
      </c>
      <c r="C13" s="154">
        <v>-1135</v>
      </c>
      <c r="D13" s="154">
        <v>-1140</v>
      </c>
      <c r="E13" s="154">
        <v>-1223</v>
      </c>
      <c r="F13" s="154">
        <v>-1247</v>
      </c>
      <c r="G13" s="205">
        <v>-4745</v>
      </c>
      <c r="H13" s="577"/>
    </row>
    <row r="14" spans="1:9" ht="9.75" customHeight="1">
      <c r="B14" s="3" t="str">
        <f>names!A1276</f>
        <v>Koszty ogólnego zarządu</v>
      </c>
      <c r="C14" s="154">
        <v>-378</v>
      </c>
      <c r="D14" s="154">
        <v>-387</v>
      </c>
      <c r="E14" s="154">
        <v>-384</v>
      </c>
      <c r="F14" s="154">
        <v>-441</v>
      </c>
      <c r="G14" s="205">
        <v>-1590</v>
      </c>
      <c r="H14" s="577"/>
    </row>
    <row r="15" spans="1:9" ht="9.75" customHeight="1">
      <c r="B15" s="3" t="str">
        <f>names!A1277</f>
        <v>Pozostałe przychody operacyjne</v>
      </c>
      <c r="C15" s="154">
        <v>344</v>
      </c>
      <c r="D15" s="154">
        <v>514</v>
      </c>
      <c r="E15" s="154">
        <v>155</v>
      </c>
      <c r="F15" s="154">
        <v>1375</v>
      </c>
      <c r="G15" s="205">
        <v>2150</v>
      </c>
      <c r="H15" s="577"/>
    </row>
    <row r="16" spans="1:9" ht="9.75" customHeight="1">
      <c r="B16" s="3" t="str">
        <f>names!A1278</f>
        <v>Pozostałe koszty operacyjne</v>
      </c>
      <c r="C16" s="154">
        <v>-262</v>
      </c>
      <c r="D16" s="154">
        <v>-194</v>
      </c>
      <c r="E16" s="154">
        <v>-137</v>
      </c>
      <c r="F16" s="154">
        <v>-607</v>
      </c>
      <c r="G16" s="205">
        <v>-1152</v>
      </c>
      <c r="H16" s="577"/>
    </row>
    <row r="17" spans="1:9" ht="9.75" customHeight="1">
      <c r="B17" s="3" t="str">
        <f>names!A1279</f>
        <v>Strata/odwrócenie straty z tytułu utraty wartości instrumentów finansowych</v>
      </c>
      <c r="C17" s="154">
        <v>5</v>
      </c>
      <c r="D17" s="154">
        <v>-4</v>
      </c>
      <c r="E17" s="154">
        <v>5</v>
      </c>
      <c r="F17" s="154">
        <v>-22</v>
      </c>
      <c r="G17" s="205">
        <v>-16</v>
      </c>
      <c r="H17" s="577"/>
    </row>
    <row r="18" spans="1:9" ht="9.75" customHeight="1">
      <c r="B18" s="401" t="str">
        <f>names!A1280</f>
        <v>Udział w wyniku finansowym jednostek wycenianych metodą praw własności</v>
      </c>
      <c r="C18" s="154">
        <v>35</v>
      </c>
      <c r="D18" s="154">
        <v>53</v>
      </c>
      <c r="E18" s="154">
        <v>26</v>
      </c>
      <c r="F18" s="154">
        <v>13</v>
      </c>
      <c r="G18" s="205">
        <v>127</v>
      </c>
      <c r="H18" s="577"/>
    </row>
    <row r="19" spans="1:9" ht="9.75" customHeight="1">
      <c r="B19" s="71" t="str">
        <f>names!A1281</f>
        <v>Zysk/(Strata) z działalności operacyjnej</v>
      </c>
      <c r="C19" s="155">
        <v>1414</v>
      </c>
      <c r="D19" s="155">
        <v>2374</v>
      </c>
      <c r="E19" s="155">
        <v>2291</v>
      </c>
      <c r="F19" s="155">
        <v>1326</v>
      </c>
      <c r="G19" s="206">
        <v>7215</v>
      </c>
      <c r="H19" s="577"/>
    </row>
    <row r="20" spans="1:9" ht="9.75" customHeight="1">
      <c r="B20" s="3" t="str">
        <f>names!A1282</f>
        <v>Przychody finansowe</v>
      </c>
      <c r="C20" s="154">
        <v>503</v>
      </c>
      <c r="D20" s="154">
        <v>422</v>
      </c>
      <c r="E20" s="154">
        <v>391</v>
      </c>
      <c r="F20" s="154">
        <v>244</v>
      </c>
      <c r="G20" s="205">
        <v>1413</v>
      </c>
      <c r="H20" s="577"/>
    </row>
    <row r="21" spans="1:9" ht="9.75" customHeight="1">
      <c r="B21" s="3" t="str">
        <f>names!A1283</f>
        <v>Koszty finansowe</v>
      </c>
      <c r="C21" s="154">
        <v>-671</v>
      </c>
      <c r="D21" s="154">
        <v>-564</v>
      </c>
      <c r="E21" s="154">
        <v>-134</v>
      </c>
      <c r="F21" s="154">
        <v>-295</v>
      </c>
      <c r="G21" s="205">
        <v>-1517</v>
      </c>
      <c r="H21" s="577"/>
    </row>
    <row r="22" spans="1:9" s="56" customFormat="1" ht="9.75" customHeight="1">
      <c r="A22" s="65"/>
      <c r="B22" s="71" t="str">
        <f>names!A1284</f>
        <v>Przychody i koszty finansowe netto</v>
      </c>
      <c r="C22" s="155">
        <v>-168</v>
      </c>
      <c r="D22" s="156">
        <v>-142</v>
      </c>
      <c r="E22" s="156">
        <v>257</v>
      </c>
      <c r="F22" s="156">
        <v>-51</v>
      </c>
      <c r="G22" s="207">
        <v>-104</v>
      </c>
      <c r="H22" s="577"/>
      <c r="I22" s="1"/>
    </row>
    <row r="23" spans="1:9" ht="9.75" customHeight="1">
      <c r="B23" s="3" t="str">
        <f>names!A1285</f>
        <v>Strata/odwrócenie straty z tytułu utraty wartości instrumentów finansowych</v>
      </c>
      <c r="C23" s="154">
        <v>-1</v>
      </c>
      <c r="D23" s="154">
        <v>0</v>
      </c>
      <c r="E23" s="154">
        <v>0</v>
      </c>
      <c r="F23" s="154">
        <v>0</v>
      </c>
      <c r="G23" s="205">
        <v>-1</v>
      </c>
      <c r="H23" s="577"/>
    </row>
    <row r="24" spans="1:9" ht="9.75" customHeight="1">
      <c r="B24" s="71" t="str">
        <f>names!A1286</f>
        <v>Zysk/(Strata) przed opodatkowaniem</v>
      </c>
      <c r="C24" s="155">
        <v>1245</v>
      </c>
      <c r="D24" s="155">
        <v>2232</v>
      </c>
      <c r="E24" s="155">
        <v>2548</v>
      </c>
      <c r="F24" s="155">
        <v>1275</v>
      </c>
      <c r="G24" s="206">
        <v>7110</v>
      </c>
      <c r="H24" s="577"/>
    </row>
    <row r="25" spans="1:9" ht="9.75" customHeight="1">
      <c r="B25" s="3" t="str">
        <f>names!A1287</f>
        <v>Podatek dochodowy</v>
      </c>
      <c r="C25" s="154">
        <v>-201</v>
      </c>
      <c r="D25" s="154">
        <v>-459</v>
      </c>
      <c r="E25" s="154">
        <v>-473</v>
      </c>
      <c r="F25" s="154">
        <v>-373</v>
      </c>
      <c r="G25" s="205">
        <v>-1506</v>
      </c>
      <c r="H25" s="577"/>
    </row>
    <row r="26" spans="1:9" s="26" customFormat="1" ht="9.75" customHeight="1">
      <c r="A26" s="82"/>
      <c r="B26" s="80" t="str">
        <f>names!A1288</f>
        <v>podatek dochodowy bieżący</v>
      </c>
      <c r="C26" s="161">
        <v>-187</v>
      </c>
      <c r="D26" s="161">
        <v>-405</v>
      </c>
      <c r="E26" s="161">
        <v>-429</v>
      </c>
      <c r="F26" s="161">
        <v>-160</v>
      </c>
      <c r="G26" s="212">
        <v>-1181</v>
      </c>
      <c r="H26" s="577"/>
      <c r="I26" s="1"/>
    </row>
    <row r="27" spans="1:9" s="26" customFormat="1" ht="9.75" customHeight="1" thickBot="1">
      <c r="A27" s="82"/>
      <c r="B27" s="456" t="str">
        <f>names!A1289</f>
        <v>podatek odroczony</v>
      </c>
      <c r="C27" s="457">
        <v>-14</v>
      </c>
      <c r="D27" s="457">
        <v>-54</v>
      </c>
      <c r="E27" s="457">
        <v>-44</v>
      </c>
      <c r="F27" s="457">
        <v>-213</v>
      </c>
      <c r="G27" s="458">
        <v>-325</v>
      </c>
      <c r="H27" s="577"/>
      <c r="I27" s="1"/>
    </row>
    <row r="28" spans="1:9" ht="9.75" customHeight="1" thickBot="1">
      <c r="B28" s="69" t="str">
        <f>names!A1290</f>
        <v>Zysk/(Strata) netto</v>
      </c>
      <c r="C28" s="158">
        <v>1044</v>
      </c>
      <c r="D28" s="158">
        <v>1773</v>
      </c>
      <c r="E28" s="158">
        <v>2075</v>
      </c>
      <c r="F28" s="158">
        <v>902</v>
      </c>
      <c r="G28" s="209">
        <v>5604</v>
      </c>
      <c r="H28" s="577"/>
    </row>
    <row r="29" spans="1:9" s="55" customFormat="1" ht="3.75" customHeight="1">
      <c r="A29" s="57"/>
      <c r="B29" s="76"/>
      <c r="C29" s="159"/>
      <c r="D29" s="159"/>
      <c r="E29" s="159"/>
      <c r="F29" s="159"/>
      <c r="G29" s="210"/>
      <c r="H29" s="577"/>
      <c r="I29" s="1"/>
    </row>
    <row r="30" spans="1:9" s="56" customFormat="1" ht="9" customHeight="1">
      <c r="A30" s="65"/>
      <c r="B30" s="66" t="str">
        <f>names!A1292</f>
        <v>Inne całkowite dochody:</v>
      </c>
      <c r="C30" s="160">
        <f>C31+C35</f>
        <v>13</v>
      </c>
      <c r="D30" s="160">
        <f>D31+D35</f>
        <v>224</v>
      </c>
      <c r="E30" s="160">
        <f>E31+E35</f>
        <v>-144</v>
      </c>
      <c r="F30" s="160">
        <f>F31+F35</f>
        <v>345</v>
      </c>
      <c r="G30" s="211">
        <f>G31+G35</f>
        <v>438</v>
      </c>
      <c r="H30" s="577"/>
      <c r="I30" s="1"/>
    </row>
    <row r="31" spans="1:9">
      <c r="B31" s="66" t="str">
        <f>names!A1293</f>
        <v>które nie zostaną następnie przeklasyfikowane na zyski lub straty</v>
      </c>
      <c r="C31" s="160">
        <v>6</v>
      </c>
      <c r="D31" s="160">
        <v>-9</v>
      </c>
      <c r="E31" s="160">
        <v>-12</v>
      </c>
      <c r="F31" s="160">
        <v>-9</v>
      </c>
      <c r="G31" s="211">
        <v>-24</v>
      </c>
      <c r="H31" s="577"/>
    </row>
    <row r="32" spans="1:9">
      <c r="B32" s="80" t="str">
        <f>names!A1294</f>
        <v>zyski i straty aktuarialne</v>
      </c>
      <c r="C32" s="161">
        <v>0</v>
      </c>
      <c r="D32" s="161">
        <v>0</v>
      </c>
      <c r="E32" s="161">
        <v>0</v>
      </c>
      <c r="F32" s="161">
        <v>-5</v>
      </c>
      <c r="G32" s="212">
        <v>-5</v>
      </c>
      <c r="H32" s="577"/>
    </row>
    <row r="33" spans="1:9" ht="22.5">
      <c r="B33" s="80" t="str">
        <f>names!A1295</f>
        <v>zyski/(straty) z tytułu inwestycji w instrumenty kapitałowe wyceniane w wartości godziwej przez inne całkowite dochody</v>
      </c>
      <c r="C33" s="161">
        <v>8</v>
      </c>
      <c r="D33" s="161">
        <v>-12</v>
      </c>
      <c r="E33" s="161">
        <v>-14</v>
      </c>
      <c r="F33" s="161">
        <v>-5</v>
      </c>
      <c r="G33" s="212">
        <v>-23</v>
      </c>
      <c r="H33" s="577"/>
    </row>
    <row r="34" spans="1:9" s="56" customFormat="1" ht="9" customHeight="1">
      <c r="A34" s="65"/>
      <c r="B34" s="80" t="str">
        <f>names!A1296</f>
        <v>podatek odroczony</v>
      </c>
      <c r="C34" s="161">
        <v>-2</v>
      </c>
      <c r="D34" s="161">
        <v>3</v>
      </c>
      <c r="E34" s="161">
        <v>2</v>
      </c>
      <c r="F34" s="161">
        <v>1</v>
      </c>
      <c r="G34" s="212">
        <v>4</v>
      </c>
      <c r="H34" s="577"/>
      <c r="I34" s="1"/>
    </row>
    <row r="35" spans="1:9">
      <c r="B35" s="66" t="str">
        <f>names!A1297</f>
        <v>które zostaną przeklasyfikowane na zyski lub straty</v>
      </c>
      <c r="C35" s="160">
        <v>7</v>
      </c>
      <c r="D35" s="160">
        <v>233</v>
      </c>
      <c r="E35" s="160">
        <v>-132</v>
      </c>
      <c r="F35" s="160">
        <v>354</v>
      </c>
      <c r="G35" s="211">
        <v>462</v>
      </c>
      <c r="H35" s="577"/>
    </row>
    <row r="36" spans="1:9">
      <c r="B36" s="80" t="str">
        <f>names!A1298</f>
        <v>instrumenty zabezpieczające</v>
      </c>
      <c r="C36" s="161">
        <v>-39</v>
      </c>
      <c r="D36" s="161">
        <v>-343</v>
      </c>
      <c r="E36" s="161">
        <v>40</v>
      </c>
      <c r="F36" s="161">
        <v>354</v>
      </c>
      <c r="G36" s="212">
        <v>12</v>
      </c>
      <c r="H36" s="577"/>
    </row>
    <row r="37" spans="1:9">
      <c r="B37" s="80" t="str">
        <f>names!A1299</f>
        <v>koszty zabezpieczenia</v>
      </c>
      <c r="C37" s="161">
        <v>24</v>
      </c>
      <c r="D37" s="161">
        <v>26</v>
      </c>
      <c r="E37" s="161">
        <v>17</v>
      </c>
      <c r="F37" s="161">
        <v>-29</v>
      </c>
      <c r="G37" s="212">
        <v>38</v>
      </c>
      <c r="H37" s="577"/>
    </row>
    <row r="38" spans="1:9">
      <c r="B38" s="80" t="str">
        <f>names!A1300</f>
        <v>różnice kursowe z przeliczenia jednostek działających za granicą</v>
      </c>
      <c r="C38" s="161">
        <v>16</v>
      </c>
      <c r="D38" s="161">
        <v>492</v>
      </c>
      <c r="E38" s="161">
        <v>-177</v>
      </c>
      <c r="F38" s="161">
        <v>84</v>
      </c>
      <c r="G38" s="212">
        <v>415</v>
      </c>
      <c r="H38" s="577"/>
    </row>
    <row r="39" spans="1:9" ht="12" thickBot="1">
      <c r="B39" s="81" t="str">
        <f>names!A1301</f>
        <v>podatek odroczony</v>
      </c>
      <c r="C39" s="162">
        <v>6</v>
      </c>
      <c r="D39" s="162">
        <v>58</v>
      </c>
      <c r="E39" s="162">
        <v>-12</v>
      </c>
      <c r="F39" s="162">
        <v>-55</v>
      </c>
      <c r="G39" s="213">
        <v>-3</v>
      </c>
      <c r="H39" s="577"/>
    </row>
    <row r="40" spans="1:9" ht="12" thickBot="1">
      <c r="B40" s="69" t="str">
        <f>names!A1302</f>
        <v>Całkowite dochody netto</v>
      </c>
      <c r="C40" s="158">
        <v>1057</v>
      </c>
      <c r="D40" s="158">
        <v>1997</v>
      </c>
      <c r="E40" s="158">
        <v>1931</v>
      </c>
      <c r="F40" s="158">
        <v>1247</v>
      </c>
      <c r="G40" s="209">
        <v>6042</v>
      </c>
      <c r="H40" s="577"/>
    </row>
    <row r="41" spans="1:9" s="55" customFormat="1" ht="5.25" customHeight="1">
      <c r="A41" s="57"/>
      <c r="B41" s="74"/>
      <c r="C41" s="163"/>
      <c r="D41" s="163"/>
      <c r="E41" s="163"/>
      <c r="F41" s="163"/>
      <c r="G41" s="214"/>
      <c r="H41" s="577"/>
      <c r="I41" s="1"/>
    </row>
    <row r="42" spans="1:9">
      <c r="B42" s="66" t="str">
        <f>names!A1304</f>
        <v>Zysk/(Strata) netto przypadający na</v>
      </c>
      <c r="C42" s="160">
        <v>1044</v>
      </c>
      <c r="D42" s="160">
        <v>1773</v>
      </c>
      <c r="E42" s="160">
        <v>2075</v>
      </c>
      <c r="F42" s="160">
        <v>902</v>
      </c>
      <c r="G42" s="211">
        <v>5604</v>
      </c>
      <c r="H42" s="577"/>
    </row>
    <row r="43" spans="1:9" s="26" customFormat="1">
      <c r="A43" s="82"/>
      <c r="B43" s="80" t="str">
        <f>names!A1305</f>
        <v>akcjonariuszy jednostki dominującej</v>
      </c>
      <c r="C43" s="161">
        <v>1042</v>
      </c>
      <c r="D43" s="161">
        <v>1744</v>
      </c>
      <c r="E43" s="161">
        <v>2063</v>
      </c>
      <c r="F43" s="161">
        <v>897</v>
      </c>
      <c r="G43" s="212">
        <v>5556</v>
      </c>
      <c r="H43" s="577"/>
      <c r="I43" s="1"/>
    </row>
    <row r="44" spans="1:9" s="26" customFormat="1">
      <c r="A44" s="82"/>
      <c r="B44" s="80" t="str">
        <f>names!A1306</f>
        <v>akcjonariuszy/udziałowców niekontrolujących</v>
      </c>
      <c r="C44" s="161">
        <v>2</v>
      </c>
      <c r="D44" s="161">
        <v>29</v>
      </c>
      <c r="E44" s="161">
        <v>12</v>
      </c>
      <c r="F44" s="161">
        <v>5</v>
      </c>
      <c r="G44" s="212">
        <v>48</v>
      </c>
      <c r="H44" s="577"/>
      <c r="I44" s="1"/>
    </row>
    <row r="45" spans="1:9" s="79" customFormat="1" ht="5.25" customHeight="1">
      <c r="A45" s="77"/>
      <c r="B45" s="78"/>
      <c r="C45" s="164"/>
      <c r="D45" s="164"/>
      <c r="E45" s="164"/>
      <c r="F45" s="164"/>
      <c r="G45" s="215"/>
      <c r="H45" s="577"/>
      <c r="I45" s="1"/>
    </row>
    <row r="46" spans="1:9">
      <c r="B46" s="66" t="str">
        <f>names!A1308</f>
        <v>Całkowite dochody netto przypadające na</v>
      </c>
      <c r="C46" s="160">
        <v>1057</v>
      </c>
      <c r="D46" s="160">
        <v>1997</v>
      </c>
      <c r="E46" s="160">
        <v>1931</v>
      </c>
      <c r="F46" s="160">
        <v>1247</v>
      </c>
      <c r="G46" s="211">
        <v>6042</v>
      </c>
      <c r="H46" s="577"/>
    </row>
    <row r="47" spans="1:9" s="26" customFormat="1">
      <c r="A47" s="82"/>
      <c r="B47" s="80" t="str">
        <f>names!A1309</f>
        <v>akcjonariuszy jednostki dominującej</v>
      </c>
      <c r="C47" s="161">
        <v>1006</v>
      </c>
      <c r="D47" s="161">
        <v>1968</v>
      </c>
      <c r="E47" s="161">
        <v>1924</v>
      </c>
      <c r="F47" s="161">
        <v>1229</v>
      </c>
      <c r="G47" s="212">
        <v>5937</v>
      </c>
      <c r="H47" s="577"/>
      <c r="I47" s="1"/>
    </row>
    <row r="48" spans="1:9" s="26" customFormat="1">
      <c r="A48" s="82"/>
      <c r="B48" s="80" t="str">
        <f>names!A1310</f>
        <v>akcjonariuszy/udziałowców niekontrolujących</v>
      </c>
      <c r="C48" s="161">
        <v>51</v>
      </c>
      <c r="D48" s="161">
        <v>29</v>
      </c>
      <c r="E48" s="161">
        <v>7</v>
      </c>
      <c r="F48" s="161">
        <v>18</v>
      </c>
      <c r="G48" s="212">
        <v>105</v>
      </c>
      <c r="H48" s="577"/>
      <c r="I48" s="1"/>
    </row>
    <row r="49" spans="1:9" s="55" customFormat="1" ht="5.25" customHeight="1">
      <c r="A49" s="57"/>
      <c r="B49" s="75"/>
      <c r="C49" s="165"/>
      <c r="D49" s="165"/>
      <c r="E49" s="165"/>
      <c r="F49" s="165"/>
      <c r="G49" s="216"/>
      <c r="H49" s="577"/>
      <c r="I49" s="1"/>
    </row>
    <row r="50" spans="1:9" ht="23.25" thickBot="1">
      <c r="B50" s="73" t="str">
        <f>names!A1312</f>
        <v>Zysk/(Strata) netto i rozwodniony zysk/(strata) netto na jedną akcję przypadający akcjonariuszom jednostki dominującej (w PLN na akcję)</v>
      </c>
      <c r="C50" s="167">
        <v>2.44</v>
      </c>
      <c r="D50" s="167">
        <v>4.07</v>
      </c>
      <c r="E50" s="167">
        <v>4.83</v>
      </c>
      <c r="F50" s="167">
        <v>2.1</v>
      </c>
      <c r="G50" s="217">
        <v>12.99</v>
      </c>
      <c r="H50" s="577"/>
    </row>
    <row r="51" spans="1:9" ht="27.75" customHeight="1">
      <c r="B51" s="1010" t="str">
        <f>names!A1313</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C51" s="1010" t="str">
        <f>names!B1313</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D51" s="1010" t="str">
        <f>names!C1313</f>
        <v>*)  In the 12 and 3 month period ended 2018, the Group adjusted in the line penalties and compensations penalties received for improper execution of the contract of the power plant CCGT in Płock in the amount of PLN 190 million, and adjusted the purchase price of non-current asset.</v>
      </c>
      <c r="E51" s="1010">
        <f>names!E1313</f>
        <v>0</v>
      </c>
      <c r="F51" s="1010">
        <f>names!F1313</f>
        <v>0</v>
      </c>
      <c r="G51" s="1010">
        <f>names!G1313</f>
        <v>0</v>
      </c>
      <c r="H51" s="577"/>
    </row>
    <row r="52" spans="1:9" ht="13.5" customHeight="1"/>
    <row r="53" spans="1:9" ht="11.25" customHeight="1">
      <c r="B53" s="577"/>
      <c r="C53" s="577"/>
      <c r="D53" s="577"/>
      <c r="E53" s="577"/>
      <c r="F53" s="577"/>
      <c r="G53" s="577"/>
    </row>
  </sheetData>
  <mergeCells count="1">
    <mergeCell ref="B51:G51"/>
  </mergeCells>
  <conditionalFormatting sqref="B53:G53">
    <cfRule type="cellIs" dxfId="39" priority="2" operator="equal">
      <formula>FALSE</formula>
    </cfRule>
  </conditionalFormatting>
  <conditionalFormatting sqref="H2:H51">
    <cfRule type="cellIs" dxfId="38" priority="1" operator="equal">
      <formula>FALSE</formula>
    </cfRule>
  </conditionalFormatting>
  <printOptions horizontalCentered="1"/>
  <pageMargins left="0.39370078740157483" right="0.35433070866141736" top="0.98425196850393704" bottom="0.98425196850393704" header="0.51181102362204722" footer="0.51181102362204722"/>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4:S4"/>
  <sheetViews>
    <sheetView showGridLines="0" view="pageBreakPreview" zoomScaleNormal="100" zoomScaleSheetLayoutView="100" workbookViewId="0"/>
  </sheetViews>
  <sheetFormatPr defaultRowHeight="12.75"/>
  <cols>
    <col min="16" max="16" width="1" customWidth="1"/>
  </cols>
  <sheetData>
    <row r="4" spans="1:19" ht="37.5">
      <c r="A4" s="491" t="str">
        <f>names!A71</f>
        <v>Otoczenie makro</v>
      </c>
      <c r="S4" s="721"/>
    </row>
  </sheetData>
  <conditionalFormatting sqref="S4">
    <cfRule type="cellIs" dxfId="129" priority="1" operator="equal">
      <formula>FALSE</formula>
    </cfRule>
  </conditionalFormatting>
  <pageMargins left="0.70866141732283472" right="0.70866141732283472" top="0.74803149606299213" bottom="0.74803149606299213" header="0.31496062992125984" footer="0.31496062992125984"/>
  <pageSetup paperSize="9" scale="9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0.34998626667073579"/>
    <pageSetUpPr fitToPage="1"/>
  </sheetPr>
  <dimension ref="A2:AF59"/>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1.25" outlineLevelCol="1"/>
  <cols>
    <col min="1" max="1" width="1.28515625" style="5" customWidth="1"/>
    <col min="2" max="2" width="66.5703125" style="4" customWidth="1"/>
    <col min="3" max="3" width="8.28515625" style="17" hidden="1" customWidth="1" outlineLevel="1"/>
    <col min="4" max="6" width="8.5703125" style="4" hidden="1" customWidth="1" outlineLevel="1"/>
    <col min="7" max="7" width="11.42578125" style="4" customWidth="1" collapsed="1"/>
    <col min="8" max="8" width="11.42578125" style="17" hidden="1" customWidth="1" outlineLevel="1"/>
    <col min="9" max="11" width="11.42578125" style="4" hidden="1" customWidth="1" outlineLevel="1"/>
    <col min="12" max="12" width="11.42578125" style="4" customWidth="1" collapsed="1"/>
    <col min="13" max="13" width="11.42578125" style="17" hidden="1" customWidth="1" outlineLevel="1"/>
    <col min="14" max="16" width="11.42578125" style="4" hidden="1" customWidth="1" outlineLevel="1"/>
    <col min="17" max="17" width="11.42578125" style="4" customWidth="1" collapsed="1"/>
    <col min="18" max="18" width="11.42578125" style="17" hidden="1" customWidth="1" outlineLevel="1"/>
    <col min="19" max="21" width="11.42578125" style="4" hidden="1" customWidth="1" outlineLevel="1"/>
    <col min="22" max="22" width="8.7109375" style="4" customWidth="1" collapsed="1"/>
    <col min="23" max="23" width="8.7109375" style="17" hidden="1" customWidth="1" outlineLevel="1"/>
    <col min="24" max="26" width="8.7109375" style="4" hidden="1" customWidth="1" outlineLevel="1"/>
    <col min="27" max="27" width="8.7109375" style="4" customWidth="1" collapsed="1"/>
    <col min="28" max="28" width="8.7109375" style="17" hidden="1" customWidth="1" outlineLevel="1"/>
    <col min="29" max="31" width="8.7109375" style="4" hidden="1" customWidth="1" outlineLevel="1"/>
    <col min="32" max="32" width="8.7109375" style="4" customWidth="1" collapsed="1"/>
    <col min="33" max="33" width="11.42578125" style="1" customWidth="1"/>
    <col min="34" max="16384" width="9.28515625" style="1"/>
  </cols>
  <sheetData>
    <row r="2" spans="1:32" ht="15.75">
      <c r="B2" s="398" t="str">
        <f>names!$A557</f>
        <v>Skonsolidowane sprawozdanie z zysków lub strat i innych całkowitych dochodów</v>
      </c>
    </row>
    <row r="3" spans="1:32" ht="10.15" customHeight="1">
      <c r="B3" s="31"/>
      <c r="C3" s="706"/>
      <c r="D3" s="707"/>
      <c r="E3" s="707"/>
      <c r="F3" s="707"/>
      <c r="G3" s="707"/>
      <c r="H3" s="706"/>
      <c r="I3" s="707"/>
      <c r="J3" s="707"/>
      <c r="K3" s="707"/>
      <c r="L3" s="707"/>
      <c r="M3" s="706"/>
      <c r="N3" s="707"/>
      <c r="O3" s="707"/>
      <c r="P3" s="707"/>
      <c r="Q3" s="707"/>
      <c r="R3" s="49"/>
      <c r="S3" s="31"/>
      <c r="T3" s="31"/>
      <c r="U3" s="31"/>
      <c r="V3" s="31"/>
      <c r="W3" s="49"/>
      <c r="X3" s="31"/>
      <c r="Y3" s="31"/>
      <c r="Z3" s="31"/>
      <c r="AA3" s="31"/>
      <c r="AB3" s="49"/>
      <c r="AC3" s="31"/>
      <c r="AD3" s="31"/>
      <c r="AE3" s="31"/>
      <c r="AF3" s="31"/>
    </row>
    <row r="4" spans="1:32" ht="30" customHeight="1">
      <c r="B4" s="15" t="str">
        <f>names!$A559</f>
        <v>Wyszczególnienie, 
mln PLN</v>
      </c>
      <c r="C4" s="15" t="str">
        <f>names!$A531</f>
        <v>I kw.
2019</v>
      </c>
      <c r="D4" s="15" t="str">
        <f>names!$A532</f>
        <v>II kw.
2019</v>
      </c>
      <c r="E4" s="15" t="str">
        <f>names!$A533</f>
        <v>III kw.
2019</v>
      </c>
      <c r="F4" s="15" t="str">
        <f>names!$A534</f>
        <v>IV kw.
2019</v>
      </c>
      <c r="G4" s="15" t="str">
        <f>names!$A535</f>
        <v>12 m-cy
2019</v>
      </c>
      <c r="H4" s="15" t="str">
        <f>names!$A612</f>
        <v>I kw.
2020</v>
      </c>
      <c r="I4" s="15" t="str">
        <f>names!$A613</f>
        <v>II kw.
2020*</v>
      </c>
      <c r="J4" s="15" t="str">
        <f>names!$A614</f>
        <v>III kw.
2020</v>
      </c>
      <c r="K4" s="15" t="str">
        <f>names!$A615</f>
        <v>IV kw.
2020</v>
      </c>
      <c r="L4" s="15" t="str">
        <f>names!$A616</f>
        <v>12 m-cy
2020</v>
      </c>
      <c r="M4" s="15" t="str">
        <f>names!$A617</f>
        <v>I kw.
2021*</v>
      </c>
      <c r="N4" s="15" t="str">
        <f>names!$A618</f>
        <v>II kw.
2021*</v>
      </c>
      <c r="O4" s="15" t="str">
        <f>names!$A619</f>
        <v>III kw.
2021*</v>
      </c>
      <c r="P4" s="15" t="str">
        <f>names!$A620</f>
        <v>IV kw.
2021</v>
      </c>
      <c r="Q4" s="15" t="str">
        <f>names!$A621</f>
        <v>12 m-cy
2021</v>
      </c>
      <c r="R4" s="15" t="str">
        <f>names!$A159</f>
        <v>I kw. 
2022</v>
      </c>
      <c r="S4" s="15" t="str">
        <f>names!$A160</f>
        <v>II kw. 
2022</v>
      </c>
      <c r="T4" s="15" t="str">
        <f>names!$A161</f>
        <v>III kw. 
2022</v>
      </c>
      <c r="U4" s="15" t="str">
        <f>names!$A162</f>
        <v>IV kw. 
2022</v>
      </c>
      <c r="V4" s="15" t="str">
        <f>names!$A163</f>
        <v>12 m-cy 2022</v>
      </c>
      <c r="W4" s="15" t="str">
        <f>names!$A164</f>
        <v>I kw. 
2023</v>
      </c>
      <c r="X4" s="15" t="str">
        <f>names!$A165</f>
        <v>II kw. 
2023</v>
      </c>
      <c r="Y4" s="15" t="str">
        <f>names!$A166</f>
        <v>III kw. 
2023</v>
      </c>
      <c r="Z4" s="15" t="str">
        <f>names!$A167</f>
        <v>IV kw. 
2023</v>
      </c>
      <c r="AA4" s="15" t="str">
        <f>names!$A168</f>
        <v>12 m-cy 2023</v>
      </c>
      <c r="AB4" s="15" t="str">
        <f>names!$A169</f>
        <v>I kw. 
2024</v>
      </c>
      <c r="AC4" s="15" t="str">
        <f>names!$A170</f>
        <v>II kw. 
2024</v>
      </c>
      <c r="AD4" s="15" t="str">
        <f>names!$A171</f>
        <v>III kw. 
2024</v>
      </c>
      <c r="AE4" s="15" t="str">
        <f>names!$A172</f>
        <v>IV kw. 
2024</v>
      </c>
      <c r="AF4" s="15" t="str">
        <f>names!$A173</f>
        <v>12 m-cy 2024</v>
      </c>
    </row>
    <row r="5" spans="1:32" s="30" customFormat="1" ht="7.15" customHeight="1">
      <c r="A5" s="29"/>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row>
    <row r="6" spans="1:32" ht="9.75" customHeight="1">
      <c r="B6" s="3" t="str">
        <f>names!$A561</f>
        <v>Przychody ze sprzedaży</v>
      </c>
      <c r="C6" s="154">
        <v>25246</v>
      </c>
      <c r="D6" s="154">
        <v>29228</v>
      </c>
      <c r="E6" s="154">
        <v>29229</v>
      </c>
      <c r="F6" s="154">
        <v>27500</v>
      </c>
      <c r="G6" s="205">
        <v>111203</v>
      </c>
      <c r="H6" s="154">
        <v>22077</v>
      </c>
      <c r="I6" s="154">
        <v>17010</v>
      </c>
      <c r="J6" s="154">
        <v>23918</v>
      </c>
      <c r="K6" s="154">
        <v>23175</v>
      </c>
      <c r="L6" s="205">
        <v>86180</v>
      </c>
      <c r="M6" s="154">
        <v>24562</v>
      </c>
      <c r="N6" s="154">
        <v>29423</v>
      </c>
      <c r="O6" s="154">
        <v>36442</v>
      </c>
      <c r="P6" s="154">
        <v>40914</v>
      </c>
      <c r="Q6" s="205">
        <v>131341</v>
      </c>
      <c r="R6" s="154">
        <v>45447</v>
      </c>
      <c r="S6" s="154">
        <v>57804</v>
      </c>
      <c r="T6" s="154">
        <v>72915</v>
      </c>
      <c r="U6" s="154">
        <v>106249</v>
      </c>
      <c r="V6" s="205">
        <v>282415</v>
      </c>
      <c r="W6" s="154">
        <v>115828</v>
      </c>
      <c r="X6" s="154">
        <v>79029</v>
      </c>
      <c r="Y6" s="154">
        <v>79457</v>
      </c>
      <c r="Z6" s="154">
        <v>98453</v>
      </c>
      <c r="AA6" s="205">
        <v>371916</v>
      </c>
      <c r="AB6" s="154">
        <v>82332</v>
      </c>
      <c r="AC6" s="154">
        <v>69510</v>
      </c>
      <c r="AD6" s="154">
        <v>67936</v>
      </c>
      <c r="AE6" s="154">
        <v>77169</v>
      </c>
      <c r="AF6" s="205">
        <v>294976</v>
      </c>
    </row>
    <row r="7" spans="1:32" s="26" customFormat="1" ht="9.75" customHeight="1">
      <c r="A7" s="82"/>
      <c r="B7" s="80" t="str">
        <f>names!$A562</f>
        <v>przychody ze sprzedaży produktów i usług</v>
      </c>
      <c r="C7" s="161">
        <v>21239</v>
      </c>
      <c r="D7" s="161">
        <v>24349</v>
      </c>
      <c r="E7" s="161">
        <v>24566</v>
      </c>
      <c r="F7" s="161">
        <v>22855</v>
      </c>
      <c r="G7" s="212">
        <v>93009</v>
      </c>
      <c r="H7" s="161">
        <v>17922</v>
      </c>
      <c r="I7" s="161">
        <v>12509</v>
      </c>
      <c r="J7" s="161">
        <v>18071</v>
      </c>
      <c r="K7" s="161">
        <v>17678</v>
      </c>
      <c r="L7" s="212">
        <v>66180</v>
      </c>
      <c r="M7" s="161">
        <v>18570</v>
      </c>
      <c r="N7" s="161">
        <v>22845</v>
      </c>
      <c r="O7" s="161">
        <v>29004</v>
      </c>
      <c r="P7" s="161">
        <v>32996</v>
      </c>
      <c r="Q7" s="212">
        <v>103415</v>
      </c>
      <c r="R7" s="161">
        <v>36535</v>
      </c>
      <c r="S7" s="161">
        <v>46981</v>
      </c>
      <c r="T7" s="161">
        <v>61404</v>
      </c>
      <c r="U7" s="161">
        <v>91517</v>
      </c>
      <c r="V7" s="212">
        <v>236437</v>
      </c>
      <c r="W7" s="161">
        <v>97428</v>
      </c>
      <c r="X7" s="161">
        <v>69799</v>
      </c>
      <c r="Y7" s="161">
        <v>66184</v>
      </c>
      <c r="Z7" s="161">
        <v>86337</v>
      </c>
      <c r="AA7" s="212">
        <v>319748</v>
      </c>
      <c r="AB7" s="161">
        <v>69104</v>
      </c>
      <c r="AC7" s="161">
        <v>61183</v>
      </c>
      <c r="AD7" s="161">
        <v>55802</v>
      </c>
      <c r="AE7" s="161">
        <v>64980</v>
      </c>
      <c r="AF7" s="212">
        <v>251069</v>
      </c>
    </row>
    <row r="8" spans="1:32" s="26" customFormat="1" ht="9.75" customHeight="1">
      <c r="A8" s="82"/>
      <c r="B8" s="80" t="str">
        <f>names!$A563</f>
        <v>przychody ze sprzedaży towarów i materiałów</v>
      </c>
      <c r="C8" s="161">
        <v>4007</v>
      </c>
      <c r="D8" s="161">
        <v>4879</v>
      </c>
      <c r="E8" s="161">
        <v>4663</v>
      </c>
      <c r="F8" s="161">
        <v>4645</v>
      </c>
      <c r="G8" s="212">
        <v>18194</v>
      </c>
      <c r="H8" s="161">
        <v>4155</v>
      </c>
      <c r="I8" s="161">
        <v>4501</v>
      </c>
      <c r="J8" s="161">
        <v>5847</v>
      </c>
      <c r="K8" s="161">
        <v>5497</v>
      </c>
      <c r="L8" s="212">
        <v>20000</v>
      </c>
      <c r="M8" s="161">
        <v>5992</v>
      </c>
      <c r="N8" s="161">
        <v>6578</v>
      </c>
      <c r="O8" s="161">
        <v>7438</v>
      </c>
      <c r="P8" s="161">
        <v>7918</v>
      </c>
      <c r="Q8" s="212">
        <v>27926</v>
      </c>
      <c r="R8" s="161">
        <v>8912</v>
      </c>
      <c r="S8" s="161">
        <v>10823</v>
      </c>
      <c r="T8" s="161">
        <v>11511</v>
      </c>
      <c r="U8" s="161">
        <v>14732</v>
      </c>
      <c r="V8" s="212">
        <v>45978</v>
      </c>
      <c r="W8" s="161">
        <v>18400</v>
      </c>
      <c r="X8" s="161">
        <v>9230</v>
      </c>
      <c r="Y8" s="161">
        <v>13273</v>
      </c>
      <c r="Z8" s="161">
        <v>12116</v>
      </c>
      <c r="AA8" s="212">
        <v>52168</v>
      </c>
      <c r="AB8" s="161">
        <v>13228</v>
      </c>
      <c r="AC8" s="161">
        <v>8327</v>
      </c>
      <c r="AD8" s="161">
        <v>12134</v>
      </c>
      <c r="AE8" s="161">
        <v>12189</v>
      </c>
      <c r="AF8" s="212">
        <v>43907</v>
      </c>
    </row>
    <row r="9" spans="1:32" ht="9.75" customHeight="1">
      <c r="B9" s="72" t="str">
        <f>names!$A564</f>
        <v>Koszt własny sprzedaży</v>
      </c>
      <c r="C9" s="154">
        <v>-22392</v>
      </c>
      <c r="D9" s="154">
        <v>-25269</v>
      </c>
      <c r="E9" s="154">
        <v>-25192</v>
      </c>
      <c r="F9" s="154">
        <v>-24448</v>
      </c>
      <c r="G9" s="205">
        <v>-97301</v>
      </c>
      <c r="H9" s="154">
        <v>-22706</v>
      </c>
      <c r="I9" s="154">
        <v>-14121</v>
      </c>
      <c r="J9" s="154">
        <v>-20488</v>
      </c>
      <c r="K9" s="154">
        <v>-19352</v>
      </c>
      <c r="L9" s="205">
        <v>-76667</v>
      </c>
      <c r="M9" s="154">
        <v>-20174</v>
      </c>
      <c r="N9" s="154">
        <v>-24620</v>
      </c>
      <c r="O9" s="154">
        <v>-30427</v>
      </c>
      <c r="P9" s="154">
        <v>-35568</v>
      </c>
      <c r="Q9" s="205">
        <v>-110789</v>
      </c>
      <c r="R9" s="154">
        <v>-35944</v>
      </c>
      <c r="S9" s="154">
        <v>-44622</v>
      </c>
      <c r="T9" s="154">
        <v>-61057</v>
      </c>
      <c r="U9" s="154">
        <v>-83139</v>
      </c>
      <c r="V9" s="205">
        <v>-224762</v>
      </c>
      <c r="W9" s="154">
        <v>-96591</v>
      </c>
      <c r="X9" s="154">
        <v>-67184</v>
      </c>
      <c r="Y9" s="154">
        <v>-66086</v>
      </c>
      <c r="Z9" s="154">
        <v>-81893</v>
      </c>
      <c r="AA9" s="205">
        <v>-310943</v>
      </c>
      <c r="AB9" s="154">
        <v>-71787</v>
      </c>
      <c r="AC9" s="154">
        <v>-63486</v>
      </c>
      <c r="AD9" s="154">
        <v>-57342</v>
      </c>
      <c r="AE9" s="154">
        <v>-62883</v>
      </c>
      <c r="AF9" s="205">
        <v>-253201</v>
      </c>
    </row>
    <row r="10" spans="1:32" s="26" customFormat="1" ht="9.75" customHeight="1">
      <c r="A10" s="82"/>
      <c r="B10" s="455" t="str">
        <f>names!$A565</f>
        <v>koszt wytworzenia sprzedanych produktów i usług</v>
      </c>
      <c r="C10" s="161">
        <v>-18813</v>
      </c>
      <c r="D10" s="161">
        <v>-21050</v>
      </c>
      <c r="E10" s="161">
        <v>-21060</v>
      </c>
      <c r="F10" s="161">
        <v>-20343</v>
      </c>
      <c r="G10" s="212">
        <v>-81266</v>
      </c>
      <c r="H10" s="161">
        <v>-19023</v>
      </c>
      <c r="I10" s="161">
        <v>-10151</v>
      </c>
      <c r="J10" s="161">
        <v>-15203</v>
      </c>
      <c r="K10" s="161">
        <v>-15411</v>
      </c>
      <c r="L10" s="212">
        <v>-59788</v>
      </c>
      <c r="M10" s="161">
        <v>-15040</v>
      </c>
      <c r="N10" s="161">
        <v>-18841</v>
      </c>
      <c r="O10" s="161">
        <v>-24009</v>
      </c>
      <c r="P10" s="161">
        <v>-28412</v>
      </c>
      <c r="Q10" s="212">
        <v>-86302</v>
      </c>
      <c r="R10" s="161">
        <v>-28228</v>
      </c>
      <c r="S10" s="161">
        <v>-34222</v>
      </c>
      <c r="T10" s="161">
        <v>-51914</v>
      </c>
      <c r="U10" s="161">
        <v>-68926</v>
      </c>
      <c r="V10" s="212">
        <v>-183290</v>
      </c>
      <c r="W10" s="161">
        <v>-79874</v>
      </c>
      <c r="X10" s="161">
        <v>-60057</v>
      </c>
      <c r="Y10" s="161">
        <v>-54703</v>
      </c>
      <c r="Z10" s="161">
        <v>-70544</v>
      </c>
      <c r="AA10" s="212">
        <v>-265178</v>
      </c>
      <c r="AB10" s="161">
        <v>-60530</v>
      </c>
      <c r="AC10" s="161">
        <v>-56436</v>
      </c>
      <c r="AD10" s="161">
        <v>-46551</v>
      </c>
      <c r="AE10" s="161">
        <v>-52251</v>
      </c>
      <c r="AF10" s="212">
        <v>-215430</v>
      </c>
    </row>
    <row r="11" spans="1:32" s="26" customFormat="1" ht="9.75" customHeight="1">
      <c r="A11" s="82"/>
      <c r="B11" s="455" t="str">
        <f>names!$A566</f>
        <v>wartość sprzedanych towarów i materiałów</v>
      </c>
      <c r="C11" s="161">
        <v>-3579</v>
      </c>
      <c r="D11" s="161">
        <v>-4219</v>
      </c>
      <c r="E11" s="161">
        <v>-4132</v>
      </c>
      <c r="F11" s="161">
        <v>-4105</v>
      </c>
      <c r="G11" s="212">
        <v>-16035</v>
      </c>
      <c r="H11" s="161">
        <v>-3683</v>
      </c>
      <c r="I11" s="161">
        <v>-3970</v>
      </c>
      <c r="J11" s="161">
        <v>-5285</v>
      </c>
      <c r="K11" s="161">
        <v>-3941</v>
      </c>
      <c r="L11" s="212">
        <v>-16879</v>
      </c>
      <c r="M11" s="161">
        <v>-5134</v>
      </c>
      <c r="N11" s="161">
        <v>-5779</v>
      </c>
      <c r="O11" s="161">
        <v>-6418</v>
      </c>
      <c r="P11" s="161">
        <v>-7156</v>
      </c>
      <c r="Q11" s="212">
        <v>-24487</v>
      </c>
      <c r="R11" s="161">
        <v>-7716</v>
      </c>
      <c r="S11" s="161">
        <v>-10400</v>
      </c>
      <c r="T11" s="161">
        <v>-9143</v>
      </c>
      <c r="U11" s="161">
        <v>-14213</v>
      </c>
      <c r="V11" s="212">
        <v>-41472</v>
      </c>
      <c r="W11" s="161">
        <v>-16717</v>
      </c>
      <c r="X11" s="161">
        <v>-7127</v>
      </c>
      <c r="Y11" s="161">
        <v>-11383</v>
      </c>
      <c r="Z11" s="161">
        <v>-11349</v>
      </c>
      <c r="AA11" s="212">
        <v>-45765</v>
      </c>
      <c r="AB11" s="161">
        <v>-11257</v>
      </c>
      <c r="AC11" s="161">
        <v>-7050</v>
      </c>
      <c r="AD11" s="161">
        <v>-10791</v>
      </c>
      <c r="AE11" s="161">
        <v>-10632</v>
      </c>
      <c r="AF11" s="212">
        <v>-37771</v>
      </c>
    </row>
    <row r="12" spans="1:32" ht="9.75" customHeight="1">
      <c r="B12" s="71" t="str">
        <f>names!$A567</f>
        <v>Zysk/(Strata) brutto ze sprzedaży</v>
      </c>
      <c r="C12" s="155">
        <v>2854</v>
      </c>
      <c r="D12" s="155">
        <v>3959</v>
      </c>
      <c r="E12" s="155">
        <v>4037</v>
      </c>
      <c r="F12" s="155">
        <v>3052</v>
      </c>
      <c r="G12" s="206">
        <v>13902</v>
      </c>
      <c r="H12" s="155">
        <v>-629</v>
      </c>
      <c r="I12" s="155">
        <v>2889</v>
      </c>
      <c r="J12" s="155">
        <v>3430</v>
      </c>
      <c r="K12" s="155">
        <v>3823</v>
      </c>
      <c r="L12" s="206">
        <v>9513</v>
      </c>
      <c r="M12" s="155">
        <v>4388</v>
      </c>
      <c r="N12" s="155">
        <v>4803</v>
      </c>
      <c r="O12" s="155">
        <v>6015</v>
      </c>
      <c r="P12" s="155">
        <v>5346</v>
      </c>
      <c r="Q12" s="206">
        <v>20552</v>
      </c>
      <c r="R12" s="155">
        <v>9503</v>
      </c>
      <c r="S12" s="155">
        <v>13182</v>
      </c>
      <c r="T12" s="155">
        <v>11858</v>
      </c>
      <c r="U12" s="155">
        <v>23110</v>
      </c>
      <c r="V12" s="206">
        <v>57653</v>
      </c>
      <c r="W12" s="155">
        <v>19237</v>
      </c>
      <c r="X12" s="155">
        <v>11845</v>
      </c>
      <c r="Y12" s="155">
        <v>13371</v>
      </c>
      <c r="Z12" s="155">
        <v>16560</v>
      </c>
      <c r="AA12" s="206">
        <v>60973</v>
      </c>
      <c r="AB12" s="155">
        <v>10545</v>
      </c>
      <c r="AC12" s="155">
        <v>6024</v>
      </c>
      <c r="AD12" s="155">
        <v>10594</v>
      </c>
      <c r="AE12" s="155">
        <v>14286</v>
      </c>
      <c r="AF12" s="206">
        <v>41775</v>
      </c>
    </row>
    <row r="13" spans="1:32" ht="9.75" customHeight="1">
      <c r="B13" s="3" t="str">
        <f>names!$A568</f>
        <v>Koszty sprzedaży</v>
      </c>
      <c r="C13" s="154">
        <v>-1465</v>
      </c>
      <c r="D13" s="154">
        <v>-1546</v>
      </c>
      <c r="E13" s="154">
        <v>-1637</v>
      </c>
      <c r="F13" s="154">
        <v>-1707</v>
      </c>
      <c r="G13" s="205">
        <v>-6355</v>
      </c>
      <c r="H13" s="154">
        <v>-1620</v>
      </c>
      <c r="I13" s="154">
        <v>-1593</v>
      </c>
      <c r="J13" s="154">
        <v>-1792</v>
      </c>
      <c r="K13" s="154">
        <v>-2221</v>
      </c>
      <c r="L13" s="205">
        <v>-7226</v>
      </c>
      <c r="M13" s="154">
        <v>-1920</v>
      </c>
      <c r="N13" s="154">
        <v>-1948</v>
      </c>
      <c r="O13" s="154">
        <v>-2214</v>
      </c>
      <c r="P13" s="154">
        <v>-2425</v>
      </c>
      <c r="Q13" s="205">
        <v>-8507</v>
      </c>
      <c r="R13" s="154">
        <v>-2380</v>
      </c>
      <c r="S13" s="154">
        <v>-2451</v>
      </c>
      <c r="T13" s="154">
        <v>-2999</v>
      </c>
      <c r="U13" s="154">
        <v>-3298</v>
      </c>
      <c r="V13" s="205">
        <v>-11128</v>
      </c>
      <c r="W13" s="154">
        <v>-3662</v>
      </c>
      <c r="X13" s="154">
        <v>-3849</v>
      </c>
      <c r="Y13" s="154">
        <v>-3918</v>
      </c>
      <c r="Z13" s="154">
        <v>-4622</v>
      </c>
      <c r="AA13" s="205">
        <v>-16051</v>
      </c>
      <c r="AB13" s="154">
        <v>-3715</v>
      </c>
      <c r="AC13" s="154">
        <v>-3515</v>
      </c>
      <c r="AD13" s="154">
        <v>-3543</v>
      </c>
      <c r="AE13" s="154">
        <v>-3228</v>
      </c>
      <c r="AF13" s="205">
        <v>-14051</v>
      </c>
    </row>
    <row r="14" spans="1:32" ht="9.75" customHeight="1">
      <c r="B14" s="3" t="str">
        <f>names!$A569</f>
        <v>Koszty ogólnego zarządu</v>
      </c>
      <c r="C14" s="154">
        <v>-421</v>
      </c>
      <c r="D14" s="154">
        <v>-449</v>
      </c>
      <c r="E14" s="154">
        <v>-425</v>
      </c>
      <c r="F14" s="154">
        <v>-511</v>
      </c>
      <c r="G14" s="205">
        <v>-1806</v>
      </c>
      <c r="H14" s="154">
        <v>-507</v>
      </c>
      <c r="I14" s="154">
        <v>-555</v>
      </c>
      <c r="J14" s="154">
        <v>-558</v>
      </c>
      <c r="K14" s="154">
        <v>-694</v>
      </c>
      <c r="L14" s="205">
        <v>-2314</v>
      </c>
      <c r="M14" s="154">
        <v>-671</v>
      </c>
      <c r="N14" s="154">
        <v>-659</v>
      </c>
      <c r="O14" s="154">
        <v>-597</v>
      </c>
      <c r="P14" s="154">
        <v>-688</v>
      </c>
      <c r="Q14" s="205">
        <v>-2615</v>
      </c>
      <c r="R14" s="154">
        <v>-699</v>
      </c>
      <c r="S14" s="154">
        <v>-735</v>
      </c>
      <c r="T14" s="154">
        <v>-850</v>
      </c>
      <c r="U14" s="154">
        <v>-1300</v>
      </c>
      <c r="V14" s="205">
        <v>-3584</v>
      </c>
      <c r="W14" s="154">
        <v>-1387</v>
      </c>
      <c r="X14" s="154">
        <v>-1358</v>
      </c>
      <c r="Y14" s="154">
        <v>-1285</v>
      </c>
      <c r="Z14" s="154">
        <v>-1605</v>
      </c>
      <c r="AA14" s="205">
        <v>-5635</v>
      </c>
      <c r="AB14" s="154">
        <v>-1535</v>
      </c>
      <c r="AC14" s="154">
        <v>-1358</v>
      </c>
      <c r="AD14" s="154">
        <v>-1619</v>
      </c>
      <c r="AE14" s="154">
        <v>-1611</v>
      </c>
      <c r="AF14" s="205">
        <v>-6123</v>
      </c>
    </row>
    <row r="15" spans="1:32" ht="9.75" customHeight="1">
      <c r="B15" s="3" t="str">
        <f>names!$A570</f>
        <v>Pozostałe przychody operacyjne**</v>
      </c>
      <c r="C15" s="154">
        <v>141</v>
      </c>
      <c r="D15" s="154">
        <v>262</v>
      </c>
      <c r="E15" s="154">
        <v>260</v>
      </c>
      <c r="F15" s="154">
        <v>606</v>
      </c>
      <c r="G15" s="205">
        <v>1246</v>
      </c>
      <c r="H15" s="154">
        <v>3183</v>
      </c>
      <c r="I15" s="154">
        <v>4484</v>
      </c>
      <c r="J15" s="154">
        <v>683</v>
      </c>
      <c r="K15" s="154">
        <v>1777</v>
      </c>
      <c r="L15" s="205">
        <v>10078</v>
      </c>
      <c r="M15" s="154">
        <v>1729</v>
      </c>
      <c r="N15" s="154">
        <v>1087</v>
      </c>
      <c r="O15" s="154">
        <v>1232</v>
      </c>
      <c r="P15" s="154">
        <v>3863</v>
      </c>
      <c r="Q15" s="205">
        <v>7911</v>
      </c>
      <c r="R15" s="154">
        <v>845</v>
      </c>
      <c r="S15" s="154">
        <v>539</v>
      </c>
      <c r="T15" s="154">
        <v>9967</v>
      </c>
      <c r="U15" s="154">
        <v>9663</v>
      </c>
      <c r="V15" s="205">
        <v>20536</v>
      </c>
      <c r="W15" s="154">
        <v>2023</v>
      </c>
      <c r="X15" s="154">
        <v>1533</v>
      </c>
      <c r="Y15" s="154">
        <v>2924</v>
      </c>
      <c r="Z15" s="154">
        <v>12476</v>
      </c>
      <c r="AA15" s="205">
        <v>18995</v>
      </c>
      <c r="AB15" s="154">
        <v>719</v>
      </c>
      <c r="AC15" s="154">
        <v>978</v>
      </c>
      <c r="AD15" s="154">
        <v>444</v>
      </c>
      <c r="AE15" s="154">
        <v>1846</v>
      </c>
      <c r="AF15" s="205">
        <v>8664</v>
      </c>
    </row>
    <row r="16" spans="1:32" s="26" customFormat="1" ht="9.75" customHeight="1">
      <c r="A16" s="82"/>
      <c r="B16" s="80" t="str">
        <f>names!$A571</f>
        <v>zysk z tytułu okazyjnego nabycia Grupy Kapitałowej LOTOS i Grupy PGNiG</v>
      </c>
      <c r="C16" s="161">
        <v>0</v>
      </c>
      <c r="D16" s="161">
        <v>0</v>
      </c>
      <c r="E16" s="161">
        <v>0</v>
      </c>
      <c r="F16" s="161">
        <v>0</v>
      </c>
      <c r="G16" s="212">
        <v>0</v>
      </c>
      <c r="H16" s="161">
        <v>0</v>
      </c>
      <c r="I16" s="161">
        <v>0</v>
      </c>
      <c r="J16" s="161">
        <v>0</v>
      </c>
      <c r="K16" s="161">
        <v>0</v>
      </c>
      <c r="L16" s="212">
        <v>0</v>
      </c>
      <c r="M16" s="161">
        <v>0</v>
      </c>
      <c r="N16" s="161">
        <v>0</v>
      </c>
      <c r="O16" s="161">
        <v>0</v>
      </c>
      <c r="P16" s="161">
        <v>0</v>
      </c>
      <c r="Q16" s="212">
        <v>0</v>
      </c>
      <c r="R16" s="161">
        <v>0</v>
      </c>
      <c r="S16" s="161">
        <v>0</v>
      </c>
      <c r="T16" s="161">
        <v>8546</v>
      </c>
      <c r="U16" s="161">
        <v>6641</v>
      </c>
      <c r="V16" s="212">
        <v>15187</v>
      </c>
      <c r="W16" s="161">
        <v>0</v>
      </c>
      <c r="X16" s="161">
        <v>0</v>
      </c>
      <c r="Y16" s="161">
        <v>0</v>
      </c>
      <c r="Z16" s="161">
        <v>0</v>
      </c>
      <c r="AA16" s="212">
        <v>0</v>
      </c>
      <c r="AB16" s="161">
        <v>0</v>
      </c>
      <c r="AC16" s="161">
        <v>0</v>
      </c>
      <c r="AD16" s="161">
        <v>0</v>
      </c>
      <c r="AE16" s="161">
        <v>0</v>
      </c>
      <c r="AF16" s="212">
        <v>0</v>
      </c>
    </row>
    <row r="17" spans="1:32" ht="9.75" customHeight="1">
      <c r="B17" s="3" t="str">
        <f>names!$A572</f>
        <v>Pozostałe koszty operacyjne</v>
      </c>
      <c r="C17" s="154">
        <v>-147</v>
      </c>
      <c r="D17" s="154">
        <v>-163</v>
      </c>
      <c r="E17" s="154">
        <v>-440</v>
      </c>
      <c r="F17" s="154">
        <v>-990</v>
      </c>
      <c r="G17" s="205">
        <v>-1717</v>
      </c>
      <c r="H17" s="154">
        <v>-2351</v>
      </c>
      <c r="I17" s="154">
        <v>-904</v>
      </c>
      <c r="J17" s="154">
        <v>-728</v>
      </c>
      <c r="K17" s="154">
        <v>-2292</v>
      </c>
      <c r="L17" s="205">
        <v>-6226</v>
      </c>
      <c r="M17" s="154">
        <v>-1373</v>
      </c>
      <c r="N17" s="154">
        <v>-679</v>
      </c>
      <c r="O17" s="154">
        <v>-657</v>
      </c>
      <c r="P17" s="154">
        <v>-1289</v>
      </c>
      <c r="Q17" s="205">
        <v>-3998</v>
      </c>
      <c r="R17" s="154">
        <v>-3863</v>
      </c>
      <c r="S17" s="154">
        <v>-5406</v>
      </c>
      <c r="T17" s="154">
        <v>-672</v>
      </c>
      <c r="U17" s="154">
        <v>-5639</v>
      </c>
      <c r="V17" s="205">
        <v>-15102</v>
      </c>
      <c r="W17" s="154">
        <v>-3465</v>
      </c>
      <c r="X17" s="154">
        <v>-925</v>
      </c>
      <c r="Y17" s="154">
        <v>-3083</v>
      </c>
      <c r="Z17" s="154">
        <v>-19671</v>
      </c>
      <c r="AA17" s="205">
        <v>-26731</v>
      </c>
      <c r="AB17" s="154">
        <v>-1527</v>
      </c>
      <c r="AC17" s="154">
        <v>-1276</v>
      </c>
      <c r="AD17" s="154">
        <v>-3908</v>
      </c>
      <c r="AE17" s="154">
        <v>-3235</v>
      </c>
      <c r="AF17" s="205">
        <v>-21870</v>
      </c>
    </row>
    <row r="18" spans="1:32" ht="9.75" customHeight="1">
      <c r="B18" s="3" t="str">
        <f>names!$A573</f>
        <v>(Strata)/odwrócenie straty z tytułu utraty wartości należności handlowych</v>
      </c>
      <c r="C18" s="154">
        <v>-10</v>
      </c>
      <c r="D18" s="154">
        <v>-15</v>
      </c>
      <c r="E18" s="154">
        <v>-23</v>
      </c>
      <c r="F18" s="154">
        <v>7</v>
      </c>
      <c r="G18" s="205">
        <v>-41</v>
      </c>
      <c r="H18" s="154">
        <v>8</v>
      </c>
      <c r="I18" s="154">
        <v>-41</v>
      </c>
      <c r="J18" s="154">
        <v>-14</v>
      </c>
      <c r="K18" s="154">
        <v>-19</v>
      </c>
      <c r="L18" s="205">
        <v>-66</v>
      </c>
      <c r="M18" s="154">
        <v>18</v>
      </c>
      <c r="N18" s="154">
        <v>-56</v>
      </c>
      <c r="O18" s="154">
        <v>-21</v>
      </c>
      <c r="P18" s="154">
        <v>-27</v>
      </c>
      <c r="Q18" s="205">
        <v>-86</v>
      </c>
      <c r="R18" s="154">
        <v>-15</v>
      </c>
      <c r="S18" s="154">
        <v>-13</v>
      </c>
      <c r="T18" s="154">
        <v>-10</v>
      </c>
      <c r="U18" s="154">
        <v>-271</v>
      </c>
      <c r="V18" s="205">
        <v>-309</v>
      </c>
      <c r="W18" s="154">
        <v>-27</v>
      </c>
      <c r="X18" s="154">
        <v>-38</v>
      </c>
      <c r="Y18" s="154">
        <v>-29</v>
      </c>
      <c r="Z18" s="154">
        <v>-126</v>
      </c>
      <c r="AA18" s="205">
        <v>-230</v>
      </c>
      <c r="AB18" s="154">
        <v>-76</v>
      </c>
      <c r="AC18" s="154">
        <v>9</v>
      </c>
      <c r="AD18" s="154">
        <v>-86</v>
      </c>
      <c r="AE18" s="154">
        <v>-288</v>
      </c>
      <c r="AF18" s="205">
        <v>-448</v>
      </c>
    </row>
    <row r="19" spans="1:32" ht="9.75" customHeight="1">
      <c r="B19" s="401" t="str">
        <f>names!$A574</f>
        <v>Udział w wyniku finansowym jednostek wycenianych metodą praw własności</v>
      </c>
      <c r="C19" s="154">
        <v>44</v>
      </c>
      <c r="D19" s="154">
        <v>38</v>
      </c>
      <c r="E19" s="154">
        <v>35</v>
      </c>
      <c r="F19" s="154">
        <v>19</v>
      </c>
      <c r="G19" s="205">
        <v>136</v>
      </c>
      <c r="H19" s="154">
        <v>12</v>
      </c>
      <c r="I19" s="154">
        <v>55</v>
      </c>
      <c r="J19" s="154">
        <v>36</v>
      </c>
      <c r="K19" s="154">
        <v>46</v>
      </c>
      <c r="L19" s="205">
        <v>149</v>
      </c>
      <c r="M19" s="154">
        <v>81</v>
      </c>
      <c r="N19" s="154">
        <v>207</v>
      </c>
      <c r="O19" s="154">
        <v>100</v>
      </c>
      <c r="P19" s="154">
        <v>225</v>
      </c>
      <c r="Q19" s="205">
        <v>613</v>
      </c>
      <c r="R19" s="154">
        <v>142</v>
      </c>
      <c r="S19" s="154">
        <v>102</v>
      </c>
      <c r="T19" s="154">
        <v>36</v>
      </c>
      <c r="U19" s="154">
        <v>4</v>
      </c>
      <c r="V19" s="205">
        <v>284</v>
      </c>
      <c r="W19" s="154">
        <v>-1</v>
      </c>
      <c r="X19" s="154">
        <v>-110</v>
      </c>
      <c r="Y19" s="154">
        <v>-862</v>
      </c>
      <c r="Z19" s="154" t="s">
        <v>249</v>
      </c>
      <c r="AA19" s="205" t="s">
        <v>249</v>
      </c>
      <c r="AB19" s="154">
        <v>-37</v>
      </c>
      <c r="AC19" s="154">
        <v>252</v>
      </c>
      <c r="AD19" s="154">
        <v>-287</v>
      </c>
      <c r="AE19" s="154" t="s">
        <v>249</v>
      </c>
      <c r="AF19" s="205" t="s">
        <v>249</v>
      </c>
    </row>
    <row r="20" spans="1:32" ht="9.75" customHeight="1">
      <c r="B20" s="71" t="str">
        <f>names!$A575</f>
        <v>Zysk/(Strata) z działalności operacyjnej</v>
      </c>
      <c r="C20" s="155">
        <v>996</v>
      </c>
      <c r="D20" s="155">
        <v>2086</v>
      </c>
      <c r="E20" s="155">
        <v>1807</v>
      </c>
      <c r="F20" s="155">
        <v>476</v>
      </c>
      <c r="G20" s="206">
        <v>5365</v>
      </c>
      <c r="H20" s="155">
        <v>-1904</v>
      </c>
      <c r="I20" s="155">
        <v>4335</v>
      </c>
      <c r="J20" s="155">
        <v>1057</v>
      </c>
      <c r="K20" s="155">
        <v>420</v>
      </c>
      <c r="L20" s="206">
        <v>3908</v>
      </c>
      <c r="M20" s="155">
        <v>2252</v>
      </c>
      <c r="N20" s="155">
        <v>2755</v>
      </c>
      <c r="O20" s="155">
        <v>3858</v>
      </c>
      <c r="P20" s="155">
        <v>5005</v>
      </c>
      <c r="Q20" s="206">
        <v>13870</v>
      </c>
      <c r="R20" s="155">
        <v>3533</v>
      </c>
      <c r="S20" s="155">
        <v>5218</v>
      </c>
      <c r="T20" s="155">
        <v>17330</v>
      </c>
      <c r="U20" s="155">
        <v>22269</v>
      </c>
      <c r="V20" s="206">
        <v>48350</v>
      </c>
      <c r="W20" s="155">
        <v>12718</v>
      </c>
      <c r="X20" s="155">
        <v>7098</v>
      </c>
      <c r="Y20" s="155">
        <v>7118</v>
      </c>
      <c r="Z20" s="155">
        <v>3012</v>
      </c>
      <c r="AA20" s="206">
        <v>31321</v>
      </c>
      <c r="AB20" s="155">
        <v>4374</v>
      </c>
      <c r="AC20" s="155">
        <v>1114</v>
      </c>
      <c r="AD20" s="155">
        <v>1595</v>
      </c>
      <c r="AE20" s="155">
        <v>7770</v>
      </c>
      <c r="AF20" s="206">
        <v>7947</v>
      </c>
    </row>
    <row r="21" spans="1:32" ht="9.75" customHeight="1">
      <c r="B21" s="401" t="str">
        <f>names!$A574</f>
        <v>Udział w wyniku finansowym jednostek wycenianych metodą praw własności</v>
      </c>
      <c r="C21" s="154" t="s">
        <v>249</v>
      </c>
      <c r="D21" s="154" t="s">
        <v>249</v>
      </c>
      <c r="E21" s="154" t="s">
        <v>249</v>
      </c>
      <c r="F21" s="154" t="s">
        <v>249</v>
      </c>
      <c r="G21" s="205" t="s">
        <v>249</v>
      </c>
      <c r="H21" s="154" t="s">
        <v>249</v>
      </c>
      <c r="I21" s="154" t="s">
        <v>249</v>
      </c>
      <c r="J21" s="154" t="s">
        <v>249</v>
      </c>
      <c r="K21" s="154" t="s">
        <v>249</v>
      </c>
      <c r="L21" s="205" t="s">
        <v>249</v>
      </c>
      <c r="M21" s="154" t="s">
        <v>249</v>
      </c>
      <c r="N21" s="154" t="s">
        <v>249</v>
      </c>
      <c r="O21" s="154" t="s">
        <v>249</v>
      </c>
      <c r="P21" s="154" t="s">
        <v>249</v>
      </c>
      <c r="Q21" s="205" t="s">
        <v>249</v>
      </c>
      <c r="R21" s="154" t="s">
        <v>249</v>
      </c>
      <c r="S21" s="154" t="s">
        <v>249</v>
      </c>
      <c r="T21" s="154" t="s">
        <v>249</v>
      </c>
      <c r="U21" s="154" t="s">
        <v>249</v>
      </c>
      <c r="V21" s="205" t="s">
        <v>249</v>
      </c>
      <c r="W21" s="154" t="s">
        <v>249</v>
      </c>
      <c r="X21" s="154" t="s">
        <v>249</v>
      </c>
      <c r="Y21" s="154" t="s">
        <v>249</v>
      </c>
      <c r="Z21" s="154">
        <v>-644</v>
      </c>
      <c r="AA21" s="205">
        <v>-1617</v>
      </c>
      <c r="AB21" s="154" t="s">
        <v>249</v>
      </c>
      <c r="AC21" s="154" t="s">
        <v>249</v>
      </c>
      <c r="AD21" s="154" t="s">
        <v>249</v>
      </c>
      <c r="AE21" s="154">
        <v>-68</v>
      </c>
      <c r="AF21" s="205">
        <v>-140</v>
      </c>
    </row>
    <row r="22" spans="1:32" ht="9.75" customHeight="1">
      <c r="B22" s="3" t="str">
        <f>names!$A576</f>
        <v>Przychody finansowe</v>
      </c>
      <c r="C22" s="154">
        <v>264</v>
      </c>
      <c r="D22" s="154">
        <v>222</v>
      </c>
      <c r="E22" s="154">
        <v>245</v>
      </c>
      <c r="F22" s="154">
        <v>446</v>
      </c>
      <c r="G22" s="205">
        <v>890</v>
      </c>
      <c r="H22" s="154">
        <v>387</v>
      </c>
      <c r="I22" s="154">
        <v>314</v>
      </c>
      <c r="J22" s="154">
        <v>109</v>
      </c>
      <c r="K22" s="154">
        <v>177</v>
      </c>
      <c r="L22" s="205">
        <v>852</v>
      </c>
      <c r="M22" s="154">
        <v>263</v>
      </c>
      <c r="N22" s="154">
        <v>373</v>
      </c>
      <c r="O22" s="154">
        <v>228</v>
      </c>
      <c r="P22" s="154">
        <v>318</v>
      </c>
      <c r="Q22" s="205">
        <v>789</v>
      </c>
      <c r="R22" s="154">
        <v>445</v>
      </c>
      <c r="S22" s="154">
        <v>409</v>
      </c>
      <c r="T22" s="154">
        <v>962</v>
      </c>
      <c r="U22" s="154">
        <v>1073</v>
      </c>
      <c r="V22" s="205">
        <v>2265</v>
      </c>
      <c r="W22" s="154">
        <v>1349</v>
      </c>
      <c r="X22" s="154">
        <v>1485</v>
      </c>
      <c r="Y22" s="154">
        <v>597</v>
      </c>
      <c r="Z22" s="154">
        <v>865</v>
      </c>
      <c r="AA22" s="205">
        <v>3046</v>
      </c>
      <c r="AB22" s="154">
        <v>572</v>
      </c>
      <c r="AC22" s="154">
        <v>363</v>
      </c>
      <c r="AD22" s="154">
        <v>652</v>
      </c>
      <c r="AE22" s="154">
        <v>322</v>
      </c>
      <c r="AF22" s="205">
        <v>1476</v>
      </c>
    </row>
    <row r="23" spans="1:32" ht="9.75" customHeight="1">
      <c r="B23" s="3" t="str">
        <f>names!$A577</f>
        <v>Koszty finansowe</v>
      </c>
      <c r="C23" s="154">
        <v>-266</v>
      </c>
      <c r="D23" s="154">
        <v>-184</v>
      </c>
      <c r="E23" s="154">
        <v>-485</v>
      </c>
      <c r="F23" s="154">
        <v>-253</v>
      </c>
      <c r="G23" s="205">
        <v>-901</v>
      </c>
      <c r="H23" s="154">
        <v>-1043</v>
      </c>
      <c r="I23" s="154">
        <v>-199</v>
      </c>
      <c r="J23" s="154">
        <v>-345</v>
      </c>
      <c r="K23" s="154">
        <v>-437</v>
      </c>
      <c r="L23" s="205">
        <v>-1889</v>
      </c>
      <c r="M23" s="154">
        <v>-353</v>
      </c>
      <c r="N23" s="154">
        <v>-271</v>
      </c>
      <c r="O23" s="154">
        <v>-526</v>
      </c>
      <c r="P23" s="154">
        <v>-211</v>
      </c>
      <c r="Q23" s="205">
        <v>-968</v>
      </c>
      <c r="R23" s="154">
        <v>-539</v>
      </c>
      <c r="S23" s="154">
        <v>-630</v>
      </c>
      <c r="T23" s="154">
        <v>-1735</v>
      </c>
      <c r="U23" s="154">
        <v>-490</v>
      </c>
      <c r="V23" s="205">
        <v>-2770</v>
      </c>
      <c r="W23" s="154">
        <v>-567</v>
      </c>
      <c r="X23" s="154">
        <v>-489</v>
      </c>
      <c r="Y23" s="154">
        <v>-1240</v>
      </c>
      <c r="Z23" s="154">
        <v>-691</v>
      </c>
      <c r="AA23" s="205">
        <v>-2149</v>
      </c>
      <c r="AB23" s="154">
        <v>-385</v>
      </c>
      <c r="AC23" s="154">
        <v>-374</v>
      </c>
      <c r="AD23" s="154">
        <v>-300</v>
      </c>
      <c r="AE23" s="154">
        <v>-598</v>
      </c>
      <c r="AF23" s="205">
        <v>-1605</v>
      </c>
    </row>
    <row r="24" spans="1:32" s="56" customFormat="1" ht="9.75" customHeight="1">
      <c r="A24" s="65"/>
      <c r="B24" s="71" t="str">
        <f>names!$A578</f>
        <v>Przychody i koszty finansowe netto</v>
      </c>
      <c r="C24" s="155">
        <v>-2</v>
      </c>
      <c r="D24" s="156">
        <v>38</v>
      </c>
      <c r="E24" s="156">
        <v>-240</v>
      </c>
      <c r="F24" s="156">
        <v>193</v>
      </c>
      <c r="G24" s="207">
        <v>-11</v>
      </c>
      <c r="H24" s="155">
        <v>-656</v>
      </c>
      <c r="I24" s="156">
        <v>115</v>
      </c>
      <c r="J24" s="156">
        <v>-236</v>
      </c>
      <c r="K24" s="156">
        <v>-260</v>
      </c>
      <c r="L24" s="207">
        <v>-1037</v>
      </c>
      <c r="M24" s="155">
        <v>-90</v>
      </c>
      <c r="N24" s="156">
        <v>102</v>
      </c>
      <c r="O24" s="156">
        <v>-298</v>
      </c>
      <c r="P24" s="156">
        <v>107</v>
      </c>
      <c r="Q24" s="207">
        <v>-179</v>
      </c>
      <c r="R24" s="155">
        <v>-94</v>
      </c>
      <c r="S24" s="156">
        <v>-221</v>
      </c>
      <c r="T24" s="156">
        <v>-773</v>
      </c>
      <c r="U24" s="156">
        <v>583</v>
      </c>
      <c r="V24" s="207">
        <v>-505</v>
      </c>
      <c r="W24" s="155">
        <v>782</v>
      </c>
      <c r="X24" s="156">
        <v>996</v>
      </c>
      <c r="Y24" s="156">
        <v>-643</v>
      </c>
      <c r="Z24" s="156">
        <v>174</v>
      </c>
      <c r="AA24" s="207">
        <v>897</v>
      </c>
      <c r="AB24" s="156">
        <v>187</v>
      </c>
      <c r="AC24" s="156">
        <v>-11</v>
      </c>
      <c r="AD24" s="156">
        <v>352</v>
      </c>
      <c r="AE24" s="156">
        <v>-276</v>
      </c>
      <c r="AF24" s="207">
        <v>-129</v>
      </c>
    </row>
    <row r="25" spans="1:32" ht="9" customHeight="1">
      <c r="B25" s="3" t="str">
        <f>names!$A579</f>
        <v>(Strata)/odwrócenie straty z tytułu utraty wartości aktywów finansowych innych niż należności handlowe</v>
      </c>
      <c r="C25" s="154">
        <v>0</v>
      </c>
      <c r="D25" s="154">
        <v>-1</v>
      </c>
      <c r="E25" s="154">
        <v>0</v>
      </c>
      <c r="F25" s="154">
        <v>-1</v>
      </c>
      <c r="G25" s="205">
        <v>-2</v>
      </c>
      <c r="H25" s="154">
        <v>-2</v>
      </c>
      <c r="I25" s="154">
        <v>-1</v>
      </c>
      <c r="J25" s="154">
        <v>1</v>
      </c>
      <c r="K25" s="154">
        <v>-13</v>
      </c>
      <c r="L25" s="205">
        <v>-15</v>
      </c>
      <c r="M25" s="154">
        <v>-1</v>
      </c>
      <c r="N25" s="154">
        <v>-3</v>
      </c>
      <c r="O25" s="154">
        <v>-3</v>
      </c>
      <c r="P25" s="154">
        <v>-1</v>
      </c>
      <c r="Q25" s="205">
        <v>-8</v>
      </c>
      <c r="R25" s="154">
        <v>-3</v>
      </c>
      <c r="S25" s="154">
        <v>-1</v>
      </c>
      <c r="T25" s="154">
        <v>-1</v>
      </c>
      <c r="U25" s="154">
        <v>-9</v>
      </c>
      <c r="V25" s="205">
        <v>-14</v>
      </c>
      <c r="W25" s="154">
        <v>-14</v>
      </c>
      <c r="X25" s="154">
        <v>-13</v>
      </c>
      <c r="Y25" s="154">
        <v>-19</v>
      </c>
      <c r="Z25" s="154">
        <v>-2</v>
      </c>
      <c r="AA25" s="205">
        <v>-38</v>
      </c>
      <c r="AB25" s="154">
        <v>-33</v>
      </c>
      <c r="AC25" s="154">
        <v>-33</v>
      </c>
      <c r="AD25" s="154">
        <v>28</v>
      </c>
      <c r="AE25" s="154">
        <v>-28</v>
      </c>
      <c r="AF25" s="205">
        <v>-59</v>
      </c>
    </row>
    <row r="26" spans="1:32" ht="9.75" customHeight="1">
      <c r="B26" s="71" t="str">
        <f>names!$A580</f>
        <v>Zysk/(Strata) przed opodatkowaniem</v>
      </c>
      <c r="C26" s="155">
        <v>994</v>
      </c>
      <c r="D26" s="155">
        <v>2123</v>
      </c>
      <c r="E26" s="155">
        <v>1567</v>
      </c>
      <c r="F26" s="155">
        <v>668</v>
      </c>
      <c r="G26" s="206">
        <v>5352</v>
      </c>
      <c r="H26" s="155">
        <v>-2562</v>
      </c>
      <c r="I26" s="155">
        <v>4449</v>
      </c>
      <c r="J26" s="155">
        <v>822</v>
      </c>
      <c r="K26" s="155">
        <v>147</v>
      </c>
      <c r="L26" s="206">
        <v>2856</v>
      </c>
      <c r="M26" s="155">
        <v>2161</v>
      </c>
      <c r="N26" s="155">
        <v>2854</v>
      </c>
      <c r="O26" s="155">
        <v>3557</v>
      </c>
      <c r="P26" s="155">
        <v>5111</v>
      </c>
      <c r="Q26" s="206">
        <v>13683</v>
      </c>
      <c r="R26" s="155">
        <v>3436</v>
      </c>
      <c r="S26" s="155">
        <v>4996</v>
      </c>
      <c r="T26" s="155">
        <v>16556</v>
      </c>
      <c r="U26" s="155">
        <v>22843</v>
      </c>
      <c r="V26" s="206">
        <v>47831</v>
      </c>
      <c r="W26" s="155">
        <v>13486</v>
      </c>
      <c r="X26" s="155">
        <v>8081</v>
      </c>
      <c r="Y26" s="155">
        <v>6456</v>
      </c>
      <c r="Z26" s="155">
        <v>2540</v>
      </c>
      <c r="AA26" s="206">
        <v>30563</v>
      </c>
      <c r="AB26" s="155">
        <v>4528</v>
      </c>
      <c r="AC26" s="155">
        <v>1070</v>
      </c>
      <c r="AD26" s="155">
        <v>1975</v>
      </c>
      <c r="AE26" s="155">
        <v>7398</v>
      </c>
      <c r="AF26" s="206">
        <v>7619</v>
      </c>
    </row>
    <row r="27" spans="1:32" ht="9.75" customHeight="1" thickBot="1">
      <c r="B27" s="3" t="str">
        <f>names!$A581</f>
        <v>Podatek dochodowy</v>
      </c>
      <c r="C27" s="154">
        <v>-145</v>
      </c>
      <c r="D27" s="154">
        <v>-522</v>
      </c>
      <c r="E27" s="154">
        <v>-301</v>
      </c>
      <c r="F27" s="154">
        <v>-86</v>
      </c>
      <c r="G27" s="205">
        <v>-1054</v>
      </c>
      <c r="H27" s="154">
        <v>317</v>
      </c>
      <c r="I27" s="154">
        <v>-81</v>
      </c>
      <c r="J27" s="154">
        <v>-145</v>
      </c>
      <c r="K27" s="154">
        <v>-122</v>
      </c>
      <c r="L27" s="205">
        <v>-31</v>
      </c>
      <c r="M27" s="154">
        <v>-289</v>
      </c>
      <c r="N27" s="154">
        <v>-610</v>
      </c>
      <c r="O27" s="154">
        <v>-629</v>
      </c>
      <c r="P27" s="154">
        <v>-967</v>
      </c>
      <c r="Q27" s="205">
        <v>-2495</v>
      </c>
      <c r="R27" s="154">
        <v>-591</v>
      </c>
      <c r="S27" s="154">
        <v>-1313</v>
      </c>
      <c r="T27" s="154">
        <v>-1805</v>
      </c>
      <c r="U27" s="154">
        <v>-4303</v>
      </c>
      <c r="V27" s="205">
        <v>-8012</v>
      </c>
      <c r="W27" s="154">
        <v>-3755</v>
      </c>
      <c r="X27" s="154">
        <v>-2062</v>
      </c>
      <c r="Y27" s="154">
        <v>-1900</v>
      </c>
      <c r="Z27" s="154">
        <v>-1617</v>
      </c>
      <c r="AA27" s="205">
        <v>-9594</v>
      </c>
      <c r="AB27" s="154">
        <v>-1730</v>
      </c>
      <c r="AC27" s="154">
        <v>-1044</v>
      </c>
      <c r="AD27" s="154">
        <v>-1787</v>
      </c>
      <c r="AE27" s="154">
        <v>-2753</v>
      </c>
      <c r="AF27" s="205">
        <v>-6236</v>
      </c>
    </row>
    <row r="28" spans="1:32" ht="9.75" customHeight="1" thickBot="1">
      <c r="B28" s="69" t="str">
        <f>names!$A582</f>
        <v>Zysk/(Strata) netto</v>
      </c>
      <c r="C28" s="158">
        <v>849</v>
      </c>
      <c r="D28" s="158">
        <v>1601</v>
      </c>
      <c r="E28" s="158">
        <v>1266</v>
      </c>
      <c r="F28" s="158">
        <v>582</v>
      </c>
      <c r="G28" s="209">
        <v>4298</v>
      </c>
      <c r="H28" s="158">
        <v>-2245</v>
      </c>
      <c r="I28" s="158">
        <v>4368</v>
      </c>
      <c r="J28" s="158">
        <v>677</v>
      </c>
      <c r="K28" s="158">
        <v>25</v>
      </c>
      <c r="L28" s="209">
        <v>2825</v>
      </c>
      <c r="M28" s="158">
        <v>1872</v>
      </c>
      <c r="N28" s="158">
        <v>2244</v>
      </c>
      <c r="O28" s="158">
        <v>2928</v>
      </c>
      <c r="P28" s="158">
        <v>4144</v>
      </c>
      <c r="Q28" s="209">
        <v>11188</v>
      </c>
      <c r="R28" s="158">
        <v>2845</v>
      </c>
      <c r="S28" s="158">
        <v>3683</v>
      </c>
      <c r="T28" s="158">
        <v>14751</v>
      </c>
      <c r="U28" s="158">
        <v>18540</v>
      </c>
      <c r="V28" s="209">
        <v>39819</v>
      </c>
      <c r="W28" s="158">
        <v>9731</v>
      </c>
      <c r="X28" s="158">
        <v>6019</v>
      </c>
      <c r="Y28" s="158">
        <v>4556</v>
      </c>
      <c r="Z28" s="158">
        <v>923</v>
      </c>
      <c r="AA28" s="209">
        <v>20969</v>
      </c>
      <c r="AB28" s="158">
        <v>2798</v>
      </c>
      <c r="AC28" s="158">
        <v>26</v>
      </c>
      <c r="AD28" s="158">
        <v>188</v>
      </c>
      <c r="AE28" s="158">
        <v>4645</v>
      </c>
      <c r="AF28" s="209">
        <v>1383</v>
      </c>
    </row>
    <row r="29" spans="1:32" s="55" customFormat="1" ht="3.75" customHeight="1">
      <c r="A29" s="57"/>
      <c r="B29" s="76">
        <f>names!$A583</f>
        <v>0</v>
      </c>
      <c r="C29" s="159"/>
      <c r="D29" s="159"/>
      <c r="E29" s="159"/>
      <c r="F29" s="159"/>
      <c r="G29" s="210"/>
      <c r="H29" s="159"/>
      <c r="I29" s="159"/>
      <c r="J29" s="159"/>
      <c r="K29" s="159"/>
      <c r="L29" s="210"/>
      <c r="M29" s="159"/>
      <c r="N29" s="159"/>
      <c r="O29" s="159"/>
      <c r="P29" s="159"/>
      <c r="Q29" s="210"/>
      <c r="R29" s="159"/>
      <c r="S29" s="159"/>
      <c r="T29" s="159"/>
      <c r="U29" s="159"/>
      <c r="V29" s="210"/>
      <c r="W29" s="159"/>
      <c r="X29" s="159"/>
      <c r="Y29" s="159"/>
      <c r="Z29" s="159"/>
      <c r="AA29" s="210"/>
      <c r="AB29" s="159"/>
      <c r="AC29" s="159"/>
      <c r="AD29" s="159"/>
      <c r="AE29" s="159"/>
      <c r="AF29" s="210"/>
    </row>
    <row r="30" spans="1:32" s="56" customFormat="1" ht="9" customHeight="1">
      <c r="A30" s="65"/>
      <c r="B30" s="66" t="str">
        <f>names!$A584</f>
        <v>Inne całkowite dochody:</v>
      </c>
      <c r="C30" s="160"/>
      <c r="D30" s="160"/>
      <c r="E30" s="160"/>
      <c r="F30" s="160"/>
      <c r="G30" s="211"/>
      <c r="H30" s="160"/>
      <c r="I30" s="160"/>
      <c r="J30" s="160"/>
      <c r="K30" s="160"/>
      <c r="L30" s="211"/>
      <c r="M30" s="160"/>
      <c r="N30" s="160"/>
      <c r="O30" s="160"/>
      <c r="P30" s="160"/>
      <c r="Q30" s="211"/>
      <c r="R30" s="160"/>
      <c r="S30" s="160"/>
      <c r="T30" s="160"/>
      <c r="U30" s="160"/>
      <c r="V30" s="211"/>
      <c r="W30" s="160"/>
      <c r="X30" s="160"/>
      <c r="Y30" s="160"/>
      <c r="Z30" s="160"/>
      <c r="AA30" s="211"/>
      <c r="AB30" s="160"/>
      <c r="AC30" s="160"/>
      <c r="AD30" s="160"/>
      <c r="AE30" s="160"/>
      <c r="AF30" s="211"/>
    </row>
    <row r="31" spans="1:32">
      <c r="B31" s="66" t="str">
        <f>names!$A585</f>
        <v>które nie zostaną następnie przeklasyfikowane na zyski lub straty</v>
      </c>
      <c r="C31" s="160">
        <v>-7</v>
      </c>
      <c r="D31" s="160">
        <v>-9</v>
      </c>
      <c r="E31" s="160">
        <v>-1</v>
      </c>
      <c r="F31" s="160">
        <v>-18</v>
      </c>
      <c r="G31" s="211">
        <v>-35</v>
      </c>
      <c r="H31" s="160">
        <v>-11</v>
      </c>
      <c r="I31" s="160">
        <v>-8</v>
      </c>
      <c r="J31" s="160">
        <v>-7</v>
      </c>
      <c r="K31" s="160">
        <v>-33</v>
      </c>
      <c r="L31" s="211">
        <v>-59</v>
      </c>
      <c r="M31" s="160">
        <v>-45</v>
      </c>
      <c r="N31" s="160">
        <v>15</v>
      </c>
      <c r="O31" s="160">
        <v>10</v>
      </c>
      <c r="P31" s="160">
        <v>139</v>
      </c>
      <c r="Q31" s="211">
        <v>119</v>
      </c>
      <c r="R31" s="160">
        <v>46</v>
      </c>
      <c r="S31" s="160">
        <v>46</v>
      </c>
      <c r="T31" s="160">
        <v>-35</v>
      </c>
      <c r="U31" s="160">
        <v>8</v>
      </c>
      <c r="V31" s="211">
        <v>65</v>
      </c>
      <c r="W31" s="160">
        <v>40</v>
      </c>
      <c r="X31" s="160">
        <v>-12</v>
      </c>
      <c r="Y31" s="160">
        <v>-29</v>
      </c>
      <c r="Z31" s="160">
        <v>-166</v>
      </c>
      <c r="AA31" s="211">
        <v>-167</v>
      </c>
      <c r="AB31" s="160">
        <v>-15</v>
      </c>
      <c r="AC31" s="160">
        <v>32</v>
      </c>
      <c r="AD31" s="160">
        <v>-54</v>
      </c>
      <c r="AE31" s="160">
        <v>6</v>
      </c>
      <c r="AF31" s="211">
        <v>-31</v>
      </c>
    </row>
    <row r="32" spans="1:32" ht="21" customHeight="1">
      <c r="B32" s="80" t="str">
        <f>names!$A586</f>
        <v>wycena nieruchomości inwestycyjnych do wartości godziwej na moment przeklasyfikowania</v>
      </c>
      <c r="C32" s="161">
        <v>0</v>
      </c>
      <c r="D32" s="161">
        <v>0</v>
      </c>
      <c r="E32" s="161">
        <v>0</v>
      </c>
      <c r="F32" s="161">
        <v>0</v>
      </c>
      <c r="G32" s="212">
        <v>0</v>
      </c>
      <c r="H32" s="161">
        <v>0</v>
      </c>
      <c r="I32" s="161">
        <v>0</v>
      </c>
      <c r="J32" s="161">
        <v>0</v>
      </c>
      <c r="K32" s="161">
        <v>0</v>
      </c>
      <c r="L32" s="212">
        <v>0</v>
      </c>
      <c r="M32" s="161">
        <v>0</v>
      </c>
      <c r="N32" s="161">
        <v>0</v>
      </c>
      <c r="O32" s="161">
        <v>0</v>
      </c>
      <c r="P32" s="161">
        <v>16</v>
      </c>
      <c r="Q32" s="212">
        <v>16</v>
      </c>
      <c r="R32" s="161">
        <v>0</v>
      </c>
      <c r="S32" s="161">
        <v>0</v>
      </c>
      <c r="T32" s="161">
        <v>0</v>
      </c>
      <c r="U32" s="161">
        <v>8</v>
      </c>
      <c r="V32" s="212">
        <v>8</v>
      </c>
      <c r="W32" s="161">
        <v>0</v>
      </c>
      <c r="X32" s="161">
        <v>0</v>
      </c>
      <c r="Y32" s="161">
        <v>0</v>
      </c>
      <c r="Z32" s="161">
        <v>1</v>
      </c>
      <c r="AA32" s="212">
        <v>1</v>
      </c>
      <c r="AB32" s="161">
        <v>0</v>
      </c>
      <c r="AC32" s="161">
        <v>0</v>
      </c>
      <c r="AD32" s="161">
        <v>0</v>
      </c>
      <c r="AE32" s="161">
        <v>2</v>
      </c>
      <c r="AF32" s="212">
        <v>2</v>
      </c>
    </row>
    <row r="33" spans="1:32">
      <c r="B33" s="80" t="str">
        <f>names!$A587</f>
        <v>zyski i straty aktuarialne</v>
      </c>
      <c r="C33" s="161">
        <v>0</v>
      </c>
      <c r="D33" s="161">
        <v>0</v>
      </c>
      <c r="E33" s="161">
        <v>0</v>
      </c>
      <c r="F33" s="161">
        <v>-21</v>
      </c>
      <c r="G33" s="212">
        <v>-21</v>
      </c>
      <c r="H33" s="161">
        <v>0</v>
      </c>
      <c r="I33" s="161">
        <v>-18</v>
      </c>
      <c r="J33" s="161">
        <v>-7</v>
      </c>
      <c r="K33" s="161">
        <v>-43</v>
      </c>
      <c r="L33" s="212">
        <v>-68</v>
      </c>
      <c r="M33" s="161">
        <v>-58</v>
      </c>
      <c r="N33" s="161">
        <v>17</v>
      </c>
      <c r="O33" s="161">
        <v>10</v>
      </c>
      <c r="P33" s="161">
        <v>155</v>
      </c>
      <c r="Q33" s="212">
        <v>124</v>
      </c>
      <c r="R33" s="161">
        <v>50</v>
      </c>
      <c r="S33" s="161">
        <v>55</v>
      </c>
      <c r="T33" s="161">
        <v>-36</v>
      </c>
      <c r="U33" s="161">
        <v>-8</v>
      </c>
      <c r="V33" s="212">
        <v>61</v>
      </c>
      <c r="W33" s="161">
        <v>51</v>
      </c>
      <c r="X33" s="161">
        <v>-16</v>
      </c>
      <c r="Y33" s="161">
        <v>-30</v>
      </c>
      <c r="Z33" s="161">
        <v>-219</v>
      </c>
      <c r="AA33" s="212">
        <v>-214</v>
      </c>
      <c r="AB33" s="161">
        <v>-42</v>
      </c>
      <c r="AC33" s="161">
        <v>48</v>
      </c>
      <c r="AD33" s="161">
        <v>-56</v>
      </c>
      <c r="AE33" s="161">
        <v>18</v>
      </c>
      <c r="AF33" s="212">
        <v>-32</v>
      </c>
    </row>
    <row r="34" spans="1:32" ht="25.5" customHeight="1">
      <c r="B34" s="80" t="str">
        <f>names!$A588</f>
        <v>zyski/(straty) z tytułu inwestycji w instrumenty kapitałowe wyceniane w wartości godziwej przez inne całkowite dochody</v>
      </c>
      <c r="C34" s="161">
        <v>-8</v>
      </c>
      <c r="D34" s="161">
        <v>-9</v>
      </c>
      <c r="E34" s="161">
        <v>-1</v>
      </c>
      <c r="F34" s="161">
        <v>-2</v>
      </c>
      <c r="G34" s="212">
        <v>-20</v>
      </c>
      <c r="H34" s="161">
        <v>-13</v>
      </c>
      <c r="I34" s="161">
        <v>8</v>
      </c>
      <c r="J34" s="161">
        <v>-2</v>
      </c>
      <c r="K34" s="161">
        <v>2</v>
      </c>
      <c r="L34" s="212">
        <v>-5</v>
      </c>
      <c r="M34" s="161">
        <v>4</v>
      </c>
      <c r="N34" s="161">
        <v>1</v>
      </c>
      <c r="O34" s="161">
        <v>2</v>
      </c>
      <c r="P34" s="161">
        <v>-1</v>
      </c>
      <c r="Q34" s="212">
        <v>6</v>
      </c>
      <c r="R34" s="161">
        <v>6</v>
      </c>
      <c r="S34" s="161">
        <v>1</v>
      </c>
      <c r="T34" s="161">
        <v>-6</v>
      </c>
      <c r="U34" s="161">
        <v>8</v>
      </c>
      <c r="V34" s="212">
        <v>9</v>
      </c>
      <c r="W34" s="161">
        <v>-5</v>
      </c>
      <c r="X34" s="161">
        <v>4</v>
      </c>
      <c r="Y34" s="161">
        <v>-7</v>
      </c>
      <c r="Z34" s="161">
        <v>11</v>
      </c>
      <c r="AA34" s="212">
        <v>3</v>
      </c>
      <c r="AB34" s="161">
        <v>15</v>
      </c>
      <c r="AC34" s="161">
        <v>-1</v>
      </c>
      <c r="AD34" s="161">
        <v>-9</v>
      </c>
      <c r="AE34" s="161">
        <v>-12</v>
      </c>
      <c r="AF34" s="212">
        <v>-7</v>
      </c>
    </row>
    <row r="35" spans="1:32" s="56" customFormat="1" ht="9" customHeight="1">
      <c r="A35" s="65"/>
      <c r="B35" s="80" t="str">
        <f>names!$A589</f>
        <v>podatek odroczony</v>
      </c>
      <c r="C35" s="161">
        <v>1</v>
      </c>
      <c r="D35" s="161">
        <v>0</v>
      </c>
      <c r="E35" s="161">
        <v>0</v>
      </c>
      <c r="F35" s="161">
        <v>5</v>
      </c>
      <c r="G35" s="212">
        <v>6</v>
      </c>
      <c r="H35" s="161">
        <v>2</v>
      </c>
      <c r="I35" s="161">
        <v>2</v>
      </c>
      <c r="J35" s="161">
        <v>2</v>
      </c>
      <c r="K35" s="161">
        <v>8</v>
      </c>
      <c r="L35" s="212">
        <v>14</v>
      </c>
      <c r="M35" s="161">
        <v>9</v>
      </c>
      <c r="N35" s="161">
        <v>-3</v>
      </c>
      <c r="O35" s="161">
        <v>-2</v>
      </c>
      <c r="P35" s="161">
        <v>-31</v>
      </c>
      <c r="Q35" s="212">
        <v>-27</v>
      </c>
      <c r="R35" s="161">
        <v>-10</v>
      </c>
      <c r="S35" s="161">
        <v>-10</v>
      </c>
      <c r="T35" s="161">
        <v>7</v>
      </c>
      <c r="U35" s="161">
        <v>0</v>
      </c>
      <c r="V35" s="212">
        <v>-13</v>
      </c>
      <c r="W35" s="161">
        <v>-6</v>
      </c>
      <c r="X35" s="161">
        <v>0</v>
      </c>
      <c r="Y35" s="161">
        <v>8</v>
      </c>
      <c r="Z35" s="161">
        <v>41</v>
      </c>
      <c r="AA35" s="212">
        <v>43</v>
      </c>
      <c r="AB35" s="161">
        <v>12</v>
      </c>
      <c r="AC35" s="161">
        <v>-15</v>
      </c>
      <c r="AD35" s="161">
        <v>11</v>
      </c>
      <c r="AE35" s="161">
        <v>-2</v>
      </c>
      <c r="AF35" s="212">
        <v>6</v>
      </c>
    </row>
    <row r="36" spans="1:32">
      <c r="B36" s="66" t="str">
        <f>names!$A590</f>
        <v>które zostaną przeklasyfikowane na zyski lub straty</v>
      </c>
      <c r="C36" s="160">
        <v>-152</v>
      </c>
      <c r="D36" s="160">
        <v>121</v>
      </c>
      <c r="E36" s="160">
        <v>321</v>
      </c>
      <c r="F36" s="160">
        <v>-185</v>
      </c>
      <c r="G36" s="211">
        <v>105</v>
      </c>
      <c r="H36" s="160">
        <v>-19</v>
      </c>
      <c r="I36" s="160">
        <v>-26</v>
      </c>
      <c r="J36" s="160">
        <v>-303</v>
      </c>
      <c r="K36" s="160">
        <v>485</v>
      </c>
      <c r="L36" s="211">
        <v>137</v>
      </c>
      <c r="M36" s="160">
        <v>153</v>
      </c>
      <c r="N36" s="160">
        <v>265</v>
      </c>
      <c r="O36" s="160">
        <v>-42</v>
      </c>
      <c r="P36" s="160">
        <v>-23</v>
      </c>
      <c r="Q36" s="211">
        <v>353</v>
      </c>
      <c r="R36" s="160">
        <v>92</v>
      </c>
      <c r="S36" s="160">
        <v>316</v>
      </c>
      <c r="T36" s="160">
        <v>1132</v>
      </c>
      <c r="U36" s="160">
        <v>4485</v>
      </c>
      <c r="V36" s="211">
        <v>6025</v>
      </c>
      <c r="W36" s="160">
        <v>4348</v>
      </c>
      <c r="X36" s="160">
        <v>-750</v>
      </c>
      <c r="Y36" s="160">
        <v>34</v>
      </c>
      <c r="Z36" s="160">
        <v>-7750</v>
      </c>
      <c r="AA36" s="211">
        <v>-4118</v>
      </c>
      <c r="AB36" s="160">
        <v>-2220</v>
      </c>
      <c r="AC36" s="160">
        <v>40</v>
      </c>
      <c r="AD36" s="160">
        <v>-996</v>
      </c>
      <c r="AE36" s="160">
        <v>-87</v>
      </c>
      <c r="AF36" s="211">
        <v>-3266</v>
      </c>
    </row>
    <row r="37" spans="1:32">
      <c r="B37" s="80" t="str">
        <f>names!$A591</f>
        <v>instrumenty pochodne zabezpieczające przepływy pieniężne</v>
      </c>
      <c r="C37" s="161">
        <v>-356</v>
      </c>
      <c r="D37" s="161">
        <v>210</v>
      </c>
      <c r="E37" s="161">
        <v>-151</v>
      </c>
      <c r="F37" s="161">
        <v>149</v>
      </c>
      <c r="G37" s="212">
        <v>-148</v>
      </c>
      <c r="H37" s="161">
        <v>-478</v>
      </c>
      <c r="I37" s="161">
        <v>73</v>
      </c>
      <c r="J37" s="161">
        <v>-271</v>
      </c>
      <c r="K37" s="161">
        <v>1</v>
      </c>
      <c r="L37" s="212">
        <v>-675</v>
      </c>
      <c r="M37" s="161">
        <v>-589</v>
      </c>
      <c r="N37" s="161">
        <v>637</v>
      </c>
      <c r="O37" s="161">
        <v>-276</v>
      </c>
      <c r="P37" s="161">
        <v>365</v>
      </c>
      <c r="Q37" s="212">
        <v>137</v>
      </c>
      <c r="R37" s="161">
        <v>-396</v>
      </c>
      <c r="S37" s="161">
        <v>286</v>
      </c>
      <c r="T37" s="161">
        <v>-360</v>
      </c>
      <c r="U37" s="161">
        <v>6387</v>
      </c>
      <c r="V37" s="212">
        <v>5917</v>
      </c>
      <c r="W37" s="161">
        <v>5438</v>
      </c>
      <c r="X37" s="161">
        <v>568</v>
      </c>
      <c r="Y37" s="161">
        <v>-1415</v>
      </c>
      <c r="Z37" s="161">
        <v>-6608</v>
      </c>
      <c r="AA37" s="212">
        <v>-2017</v>
      </c>
      <c r="AB37" s="161">
        <v>-1017</v>
      </c>
      <c r="AC37" s="161">
        <v>-732</v>
      </c>
      <c r="AD37" s="161">
        <v>-377</v>
      </c>
      <c r="AE37" s="161">
        <v>-262</v>
      </c>
      <c r="AF37" s="212">
        <v>-2388</v>
      </c>
    </row>
    <row r="38" spans="1:32">
      <c r="B38" s="80" t="str">
        <f>names!$A592</f>
        <v>koszty zabezpieczenia</v>
      </c>
      <c r="C38" s="161">
        <v>82</v>
      </c>
      <c r="D38" s="161">
        <v>-5</v>
      </c>
      <c r="E38" s="161">
        <v>-20</v>
      </c>
      <c r="F38" s="161">
        <v>58</v>
      </c>
      <c r="G38" s="212">
        <v>115</v>
      </c>
      <c r="H38" s="161">
        <v>193</v>
      </c>
      <c r="I38" s="161">
        <v>61</v>
      </c>
      <c r="J38" s="161">
        <v>-49</v>
      </c>
      <c r="K38" s="161">
        <v>50</v>
      </c>
      <c r="L38" s="212">
        <v>255</v>
      </c>
      <c r="M38" s="161">
        <v>348</v>
      </c>
      <c r="N38" s="161">
        <v>-66</v>
      </c>
      <c r="O38" s="161">
        <v>-243</v>
      </c>
      <c r="P38" s="161">
        <v>-689</v>
      </c>
      <c r="Q38" s="212">
        <v>-650</v>
      </c>
      <c r="R38" s="161">
        <v>-58</v>
      </c>
      <c r="S38" s="161">
        <v>-174</v>
      </c>
      <c r="T38" s="161">
        <v>612</v>
      </c>
      <c r="U38" s="161">
        <v>503</v>
      </c>
      <c r="V38" s="212">
        <v>883</v>
      </c>
      <c r="W38" s="161">
        <v>140</v>
      </c>
      <c r="X38" s="161">
        <v>321</v>
      </c>
      <c r="Y38" s="161">
        <v>223</v>
      </c>
      <c r="Z38" s="161">
        <v>-273</v>
      </c>
      <c r="AA38" s="212">
        <v>411</v>
      </c>
      <c r="AB38" s="161">
        <v>-776</v>
      </c>
      <c r="AC38" s="161">
        <v>366</v>
      </c>
      <c r="AD38" s="161">
        <v>2</v>
      </c>
      <c r="AE38" s="161">
        <v>8</v>
      </c>
      <c r="AF38" s="212">
        <v>-400</v>
      </c>
    </row>
    <row r="39" spans="1:32">
      <c r="B39" s="80" t="str">
        <f>names!$A593</f>
        <v>różnice kursowe z przeliczenia jednostek działających za granicą</v>
      </c>
      <c r="C39" s="161">
        <v>80</v>
      </c>
      <c r="D39" s="161">
        <v>-45</v>
      </c>
      <c r="E39" s="161">
        <v>445</v>
      </c>
      <c r="F39" s="161">
        <v>-342</v>
      </c>
      <c r="G39" s="212">
        <v>138</v>
      </c>
      <c r="H39" s="161">
        <v>189</v>
      </c>
      <c r="I39" s="161">
        <v>-114</v>
      </c>
      <c r="J39" s="161">
        <v>-42</v>
      </c>
      <c r="K39" s="161">
        <v>448</v>
      </c>
      <c r="L39" s="212">
        <v>481</v>
      </c>
      <c r="M39" s="161">
        <v>346</v>
      </c>
      <c r="N39" s="161">
        <v>-198</v>
      </c>
      <c r="O39" s="161">
        <v>385</v>
      </c>
      <c r="P39" s="161">
        <v>233</v>
      </c>
      <c r="Q39" s="212">
        <v>766</v>
      </c>
      <c r="R39" s="161">
        <v>453</v>
      </c>
      <c r="S39" s="161">
        <v>229</v>
      </c>
      <c r="T39" s="161">
        <v>929</v>
      </c>
      <c r="U39" s="161">
        <v>-1021</v>
      </c>
      <c r="V39" s="212">
        <v>590</v>
      </c>
      <c r="W39" s="161">
        <v>-174</v>
      </c>
      <c r="X39" s="161">
        <v>-1508</v>
      </c>
      <c r="Y39" s="161">
        <v>982</v>
      </c>
      <c r="Z39" s="161">
        <v>-2180</v>
      </c>
      <c r="AA39" s="212">
        <v>-2880</v>
      </c>
      <c r="AB39" s="161">
        <v>-773</v>
      </c>
      <c r="AC39" s="161">
        <v>334</v>
      </c>
      <c r="AD39" s="161">
        <v>-696</v>
      </c>
      <c r="AE39" s="161">
        <v>119</v>
      </c>
      <c r="AF39" s="212">
        <v>-1020</v>
      </c>
    </row>
    <row r="40" spans="1:32" ht="10.15" customHeight="1">
      <c r="B40" s="80" t="str">
        <f>names!$A594</f>
        <v>udział w innych całkowitych dochodach w jednostkach wycenianych metodą praw własności</v>
      </c>
      <c r="C40" s="161"/>
      <c r="D40" s="161"/>
      <c r="E40" s="161"/>
      <c r="F40" s="161"/>
      <c r="G40" s="212"/>
      <c r="H40" s="161">
        <v>0</v>
      </c>
      <c r="I40" s="161">
        <v>0</v>
      </c>
      <c r="J40" s="161">
        <v>0</v>
      </c>
      <c r="K40" s="161">
        <v>0</v>
      </c>
      <c r="L40" s="212">
        <v>0</v>
      </c>
      <c r="M40" s="161">
        <v>0</v>
      </c>
      <c r="N40" s="161">
        <v>0</v>
      </c>
      <c r="O40" s="161">
        <v>0</v>
      </c>
      <c r="P40" s="161">
        <v>1</v>
      </c>
      <c r="Q40" s="212">
        <v>1</v>
      </c>
      <c r="R40" s="161">
        <v>2</v>
      </c>
      <c r="S40" s="161">
        <v>-1</v>
      </c>
      <c r="T40" s="161">
        <v>1</v>
      </c>
      <c r="U40" s="161">
        <v>-2</v>
      </c>
      <c r="V40" s="212">
        <v>0</v>
      </c>
      <c r="W40" s="161">
        <v>0</v>
      </c>
      <c r="X40" s="161">
        <v>-2</v>
      </c>
      <c r="Y40" s="161">
        <v>2</v>
      </c>
      <c r="Z40" s="161">
        <v>0</v>
      </c>
      <c r="AA40" s="212">
        <v>0</v>
      </c>
      <c r="AB40" s="161">
        <v>4</v>
      </c>
      <c r="AC40" s="161">
        <v>4</v>
      </c>
      <c r="AD40" s="161">
        <v>1</v>
      </c>
      <c r="AE40" s="161">
        <v>2</v>
      </c>
      <c r="AF40" s="212">
        <v>12</v>
      </c>
    </row>
    <row r="41" spans="1:32" ht="12" thickBot="1">
      <c r="B41" s="81" t="str">
        <f>names!$A595</f>
        <v>podatek dochodowy</v>
      </c>
      <c r="C41" s="162">
        <v>42</v>
      </c>
      <c r="D41" s="162">
        <v>-39</v>
      </c>
      <c r="E41" s="162">
        <v>47</v>
      </c>
      <c r="F41" s="162">
        <v>-50</v>
      </c>
      <c r="G41" s="213">
        <v>0</v>
      </c>
      <c r="H41" s="162">
        <v>77</v>
      </c>
      <c r="I41" s="162">
        <v>-46</v>
      </c>
      <c r="J41" s="162">
        <v>59</v>
      </c>
      <c r="K41" s="162">
        <v>-14</v>
      </c>
      <c r="L41" s="213">
        <v>76</v>
      </c>
      <c r="M41" s="162">
        <v>48</v>
      </c>
      <c r="N41" s="162">
        <v>-108</v>
      </c>
      <c r="O41" s="162">
        <v>92</v>
      </c>
      <c r="P41" s="162">
        <v>67</v>
      </c>
      <c r="Q41" s="213">
        <v>99</v>
      </c>
      <c r="R41" s="162">
        <v>91</v>
      </c>
      <c r="S41" s="162">
        <v>-24</v>
      </c>
      <c r="T41" s="162">
        <v>-50</v>
      </c>
      <c r="U41" s="162">
        <v>-1382</v>
      </c>
      <c r="V41" s="213">
        <v>-1365</v>
      </c>
      <c r="W41" s="162">
        <v>-1056</v>
      </c>
      <c r="X41" s="162">
        <v>-129</v>
      </c>
      <c r="Y41" s="162">
        <v>242</v>
      </c>
      <c r="Z41" s="162">
        <v>1311</v>
      </c>
      <c r="AA41" s="213">
        <v>368</v>
      </c>
      <c r="AB41" s="162">
        <v>342</v>
      </c>
      <c r="AC41" s="162">
        <v>68</v>
      </c>
      <c r="AD41" s="162">
        <v>74</v>
      </c>
      <c r="AE41" s="162">
        <v>46</v>
      </c>
      <c r="AF41" s="213">
        <v>530</v>
      </c>
    </row>
    <row r="42" spans="1:32" ht="12" thickBot="1">
      <c r="B42" s="69" t="str">
        <f>names!$A596</f>
        <v>Całkowite dochody netto</v>
      </c>
      <c r="C42" s="158">
        <v>690</v>
      </c>
      <c r="D42" s="158">
        <v>1713</v>
      </c>
      <c r="E42" s="158">
        <v>1586</v>
      </c>
      <c r="F42" s="158">
        <v>379</v>
      </c>
      <c r="G42" s="209">
        <v>4368</v>
      </c>
      <c r="H42" s="158">
        <v>-2275</v>
      </c>
      <c r="I42" s="158">
        <v>4334</v>
      </c>
      <c r="J42" s="158">
        <v>367</v>
      </c>
      <c r="K42" s="158">
        <v>477</v>
      </c>
      <c r="L42" s="209">
        <v>2903</v>
      </c>
      <c r="M42" s="158">
        <v>1980</v>
      </c>
      <c r="N42" s="158">
        <v>2524</v>
      </c>
      <c r="O42" s="158">
        <v>2896</v>
      </c>
      <c r="P42" s="158">
        <v>4260</v>
      </c>
      <c r="Q42" s="209">
        <v>11660</v>
      </c>
      <c r="R42" s="158">
        <v>2983</v>
      </c>
      <c r="S42" s="158">
        <v>4045</v>
      </c>
      <c r="T42" s="158">
        <v>15848</v>
      </c>
      <c r="U42" s="158">
        <v>23033</v>
      </c>
      <c r="V42" s="209">
        <v>45909</v>
      </c>
      <c r="W42" s="158">
        <v>14119</v>
      </c>
      <c r="X42" s="158">
        <v>5257</v>
      </c>
      <c r="Y42" s="158">
        <v>4561</v>
      </c>
      <c r="Z42" s="158">
        <v>-6993</v>
      </c>
      <c r="AA42" s="209">
        <v>16684</v>
      </c>
      <c r="AB42" s="158">
        <v>563</v>
      </c>
      <c r="AC42" s="158">
        <v>98</v>
      </c>
      <c r="AD42" s="158">
        <v>-862</v>
      </c>
      <c r="AE42" s="158">
        <v>4564</v>
      </c>
      <c r="AF42" s="209">
        <v>-1914</v>
      </c>
    </row>
    <row r="43" spans="1:32" s="55" customFormat="1" ht="5.25" customHeight="1">
      <c r="A43" s="57"/>
      <c r="B43" s="74">
        <f>names!$A597</f>
        <v>0</v>
      </c>
      <c r="C43" s="163"/>
      <c r="D43" s="163"/>
      <c r="E43" s="163"/>
      <c r="F43" s="163"/>
      <c r="G43" s="214"/>
      <c r="H43" s="163"/>
      <c r="I43" s="163"/>
      <c r="J43" s="163"/>
      <c r="K43" s="163"/>
      <c r="L43" s="214"/>
      <c r="M43" s="163"/>
      <c r="N43" s="163"/>
      <c r="O43" s="163"/>
      <c r="P43" s="163"/>
      <c r="Q43" s="214"/>
      <c r="R43" s="163"/>
      <c r="S43" s="163"/>
      <c r="T43" s="163"/>
      <c r="U43" s="163"/>
      <c r="V43" s="214"/>
      <c r="W43" s="163"/>
      <c r="X43" s="163"/>
      <c r="Y43" s="163"/>
      <c r="Z43" s="163"/>
      <c r="AA43" s="214"/>
      <c r="AB43" s="163"/>
      <c r="AC43" s="163"/>
      <c r="AD43" s="163"/>
      <c r="AE43" s="163"/>
      <c r="AF43" s="214"/>
    </row>
    <row r="44" spans="1:32">
      <c r="B44" s="66" t="str">
        <f>names!$A598</f>
        <v>Zysk/(strata) netto przypadający na</v>
      </c>
      <c r="C44" s="160">
        <v>849</v>
      </c>
      <c r="D44" s="160">
        <v>1601</v>
      </c>
      <c r="E44" s="160">
        <v>1266</v>
      </c>
      <c r="F44" s="160">
        <v>582</v>
      </c>
      <c r="G44" s="211">
        <v>4298</v>
      </c>
      <c r="H44" s="160">
        <v>-2245</v>
      </c>
      <c r="I44" s="160">
        <v>4368</v>
      </c>
      <c r="J44" s="160">
        <v>677</v>
      </c>
      <c r="K44" s="160">
        <v>25</v>
      </c>
      <c r="L44" s="211">
        <v>2825</v>
      </c>
      <c r="M44" s="160">
        <v>1872</v>
      </c>
      <c r="N44" s="160">
        <v>2244</v>
      </c>
      <c r="O44" s="160">
        <v>2928</v>
      </c>
      <c r="P44" s="160">
        <v>4144</v>
      </c>
      <c r="Q44" s="211">
        <v>11188</v>
      </c>
      <c r="R44" s="160">
        <v>2845</v>
      </c>
      <c r="S44" s="160">
        <v>3683</v>
      </c>
      <c r="T44" s="160">
        <v>14751</v>
      </c>
      <c r="U44" s="160">
        <v>18540</v>
      </c>
      <c r="V44" s="211">
        <v>39819</v>
      </c>
      <c r="W44" s="160">
        <v>9471</v>
      </c>
      <c r="X44" s="160">
        <v>6019</v>
      </c>
      <c r="Y44" s="160">
        <v>4556</v>
      </c>
      <c r="Z44" s="160">
        <v>923</v>
      </c>
      <c r="AA44" s="211">
        <v>20969</v>
      </c>
      <c r="AB44" s="160">
        <v>2798</v>
      </c>
      <c r="AC44" s="160">
        <v>26</v>
      </c>
      <c r="AD44" s="160">
        <v>188</v>
      </c>
      <c r="AE44" s="160">
        <v>4645</v>
      </c>
      <c r="AF44" s="211">
        <v>1383</v>
      </c>
    </row>
    <row r="45" spans="1:32" s="26" customFormat="1">
      <c r="A45" s="82"/>
      <c r="B45" s="80" t="str">
        <f>names!$A599</f>
        <v>akcjonariuszy jednostki dominującej</v>
      </c>
      <c r="C45" s="161">
        <v>849</v>
      </c>
      <c r="D45" s="161">
        <v>1602</v>
      </c>
      <c r="E45" s="161">
        <v>1266</v>
      </c>
      <c r="F45" s="161">
        <v>583</v>
      </c>
      <c r="G45" s="212">
        <v>4300</v>
      </c>
      <c r="H45" s="161">
        <v>-2244</v>
      </c>
      <c r="I45" s="161">
        <v>4350</v>
      </c>
      <c r="J45" s="161">
        <v>651</v>
      </c>
      <c r="K45" s="161">
        <v>-2</v>
      </c>
      <c r="L45" s="212">
        <v>2755</v>
      </c>
      <c r="M45" s="161">
        <v>1845</v>
      </c>
      <c r="N45" s="161">
        <v>2227</v>
      </c>
      <c r="O45" s="161">
        <v>2909</v>
      </c>
      <c r="P45" s="161">
        <v>4141</v>
      </c>
      <c r="Q45" s="212">
        <v>11122</v>
      </c>
      <c r="R45" s="161">
        <v>2770</v>
      </c>
      <c r="S45" s="161">
        <v>3612</v>
      </c>
      <c r="T45" s="161">
        <v>14679</v>
      </c>
      <c r="U45" s="161">
        <v>18616</v>
      </c>
      <c r="V45" s="212">
        <v>39677</v>
      </c>
      <c r="W45" s="161">
        <v>9324</v>
      </c>
      <c r="X45" s="161">
        <v>6065</v>
      </c>
      <c r="Y45" s="161">
        <v>4561</v>
      </c>
      <c r="Z45" s="161">
        <v>972</v>
      </c>
      <c r="AA45" s="212">
        <v>20922</v>
      </c>
      <c r="AB45" s="161">
        <v>2778</v>
      </c>
      <c r="AC45" s="161">
        <v>20</v>
      </c>
      <c r="AD45" s="161">
        <v>222</v>
      </c>
      <c r="AE45" s="161">
        <v>4664</v>
      </c>
      <c r="AF45" s="212">
        <v>1469</v>
      </c>
    </row>
    <row r="46" spans="1:32" s="26" customFormat="1">
      <c r="A46" s="82"/>
      <c r="B46" s="80" t="str">
        <f>names!$A600</f>
        <v>akcjonariuszy/udziałowców niekontrolujących</v>
      </c>
      <c r="C46" s="161">
        <v>0</v>
      </c>
      <c r="D46" s="161">
        <v>-1</v>
      </c>
      <c r="E46" s="161">
        <v>0</v>
      </c>
      <c r="F46" s="161">
        <v>-1</v>
      </c>
      <c r="G46" s="212">
        <v>-2</v>
      </c>
      <c r="H46" s="161">
        <v>-1</v>
      </c>
      <c r="I46" s="161">
        <v>18</v>
      </c>
      <c r="J46" s="161">
        <v>26</v>
      </c>
      <c r="K46" s="161">
        <v>27</v>
      </c>
      <c r="L46" s="212">
        <v>70</v>
      </c>
      <c r="M46" s="161">
        <v>27</v>
      </c>
      <c r="N46" s="161">
        <v>17</v>
      </c>
      <c r="O46" s="161">
        <v>19</v>
      </c>
      <c r="P46" s="161">
        <v>3</v>
      </c>
      <c r="Q46" s="212">
        <v>66</v>
      </c>
      <c r="R46" s="161">
        <v>75</v>
      </c>
      <c r="S46" s="161">
        <v>71</v>
      </c>
      <c r="T46" s="161">
        <v>72</v>
      </c>
      <c r="U46" s="161">
        <v>-76</v>
      </c>
      <c r="V46" s="212">
        <v>142</v>
      </c>
      <c r="W46" s="161">
        <v>147</v>
      </c>
      <c r="X46" s="161">
        <v>-46</v>
      </c>
      <c r="Y46" s="161">
        <v>-5</v>
      </c>
      <c r="Z46" s="161">
        <v>-49</v>
      </c>
      <c r="AA46" s="212">
        <v>47</v>
      </c>
      <c r="AB46" s="161">
        <v>20</v>
      </c>
      <c r="AC46" s="161">
        <v>6</v>
      </c>
      <c r="AD46" s="161">
        <v>-34</v>
      </c>
      <c r="AE46" s="161">
        <v>-19</v>
      </c>
      <c r="AF46" s="212">
        <v>-86</v>
      </c>
    </row>
    <row r="47" spans="1:32" s="79" customFormat="1" ht="5.25" customHeight="1">
      <c r="A47" s="77"/>
      <c r="B47" s="78">
        <f>names!$A601</f>
        <v>0</v>
      </c>
      <c r="C47" s="164"/>
      <c r="D47" s="164"/>
      <c r="E47" s="164"/>
      <c r="F47" s="164"/>
      <c r="G47" s="215"/>
      <c r="H47" s="164"/>
      <c r="I47" s="164"/>
      <c r="J47" s="164"/>
      <c r="K47" s="164"/>
      <c r="L47" s="215"/>
      <c r="M47" s="164"/>
      <c r="N47" s="164"/>
      <c r="O47" s="164"/>
      <c r="P47" s="164"/>
      <c r="Q47" s="215"/>
      <c r="R47" s="164"/>
      <c r="S47" s="164"/>
      <c r="T47" s="164"/>
      <c r="U47" s="164"/>
      <c r="V47" s="215"/>
      <c r="W47" s="164"/>
      <c r="X47" s="164"/>
      <c r="Y47" s="164"/>
      <c r="Z47" s="164"/>
      <c r="AA47" s="215"/>
      <c r="AB47" s="164"/>
      <c r="AC47" s="164"/>
      <c r="AD47" s="164"/>
      <c r="AE47" s="164"/>
      <c r="AF47" s="215"/>
    </row>
    <row r="48" spans="1:32">
      <c r="B48" s="66" t="str">
        <f>names!$A602</f>
        <v>Całkowite dochody netto przypadające na</v>
      </c>
      <c r="C48" s="160">
        <v>690</v>
      </c>
      <c r="D48" s="160">
        <v>1713</v>
      </c>
      <c r="E48" s="160">
        <v>1586</v>
      </c>
      <c r="F48" s="160">
        <v>379</v>
      </c>
      <c r="G48" s="211">
        <v>4368</v>
      </c>
      <c r="H48" s="160">
        <v>-2275</v>
      </c>
      <c r="I48" s="160">
        <v>4334</v>
      </c>
      <c r="J48" s="160">
        <v>367</v>
      </c>
      <c r="K48" s="160">
        <v>477</v>
      </c>
      <c r="L48" s="211">
        <v>2903</v>
      </c>
      <c r="M48" s="160">
        <v>1980</v>
      </c>
      <c r="N48" s="160">
        <v>2524</v>
      </c>
      <c r="O48" s="160">
        <v>2896</v>
      </c>
      <c r="P48" s="160">
        <v>4260</v>
      </c>
      <c r="Q48" s="211">
        <v>11660</v>
      </c>
      <c r="R48" s="160">
        <v>2983</v>
      </c>
      <c r="S48" s="160">
        <v>4045</v>
      </c>
      <c r="T48" s="160">
        <v>15848</v>
      </c>
      <c r="U48" s="160">
        <v>23033</v>
      </c>
      <c r="V48" s="211">
        <v>45909</v>
      </c>
      <c r="W48" s="160">
        <v>13859</v>
      </c>
      <c r="X48" s="160">
        <v>5257</v>
      </c>
      <c r="Y48" s="160">
        <v>4561</v>
      </c>
      <c r="Z48" s="160">
        <v>-6993</v>
      </c>
      <c r="AA48" s="211">
        <v>16684</v>
      </c>
      <c r="AB48" s="160">
        <v>563</v>
      </c>
      <c r="AC48" s="160">
        <v>98</v>
      </c>
      <c r="AD48" s="160">
        <v>-862</v>
      </c>
      <c r="AE48" s="160">
        <v>4564</v>
      </c>
      <c r="AF48" s="211">
        <v>-1914</v>
      </c>
    </row>
    <row r="49" spans="1:32" s="26" customFormat="1">
      <c r="A49" s="82"/>
      <c r="B49" s="80" t="str">
        <f>names!$A603</f>
        <v>akcjonariuszy jednostki dominującej</v>
      </c>
      <c r="C49" s="161">
        <v>690</v>
      </c>
      <c r="D49" s="161">
        <v>1714</v>
      </c>
      <c r="E49" s="161">
        <v>1586</v>
      </c>
      <c r="F49" s="161">
        <v>380</v>
      </c>
      <c r="G49" s="212">
        <v>4370</v>
      </c>
      <c r="H49" s="161">
        <v>-2274</v>
      </c>
      <c r="I49" s="161">
        <v>4319</v>
      </c>
      <c r="J49" s="161">
        <v>343</v>
      </c>
      <c r="K49" s="161">
        <v>452</v>
      </c>
      <c r="L49" s="212">
        <v>2840</v>
      </c>
      <c r="M49" s="161">
        <v>1958</v>
      </c>
      <c r="N49" s="161">
        <v>2506</v>
      </c>
      <c r="O49" s="161">
        <v>2877</v>
      </c>
      <c r="P49" s="161">
        <v>4246</v>
      </c>
      <c r="Q49" s="212">
        <v>11587</v>
      </c>
      <c r="R49" s="161">
        <v>2905</v>
      </c>
      <c r="S49" s="161">
        <v>3968</v>
      </c>
      <c r="T49" s="161">
        <v>15780</v>
      </c>
      <c r="U49" s="161">
        <v>23110</v>
      </c>
      <c r="V49" s="212">
        <v>45763</v>
      </c>
      <c r="W49" s="161">
        <v>13708</v>
      </c>
      <c r="X49" s="161">
        <v>5304</v>
      </c>
      <c r="Y49" s="161">
        <v>4569</v>
      </c>
      <c r="Z49" s="161">
        <v>-6942</v>
      </c>
      <c r="AA49" s="212">
        <v>16639</v>
      </c>
      <c r="AB49" s="161">
        <v>547</v>
      </c>
      <c r="AC49" s="161">
        <v>91</v>
      </c>
      <c r="AD49" s="161">
        <v>-826</v>
      </c>
      <c r="AE49" s="161">
        <v>4582</v>
      </c>
      <c r="AF49" s="212">
        <v>-1824</v>
      </c>
    </row>
    <row r="50" spans="1:32" s="26" customFormat="1">
      <c r="A50" s="82"/>
      <c r="B50" s="80" t="str">
        <f>names!$A604</f>
        <v>akcjonariuszy/udziałowców niekontrolujących</v>
      </c>
      <c r="C50" s="161">
        <v>0</v>
      </c>
      <c r="D50" s="161">
        <v>-1</v>
      </c>
      <c r="E50" s="161">
        <v>0</v>
      </c>
      <c r="F50" s="161">
        <v>-1</v>
      </c>
      <c r="G50" s="212">
        <v>-2</v>
      </c>
      <c r="H50" s="161">
        <v>-1</v>
      </c>
      <c r="I50" s="161">
        <v>15</v>
      </c>
      <c r="J50" s="161">
        <v>24</v>
      </c>
      <c r="K50" s="161">
        <v>25</v>
      </c>
      <c r="L50" s="212">
        <v>63</v>
      </c>
      <c r="M50" s="161">
        <v>22</v>
      </c>
      <c r="N50" s="161">
        <v>18</v>
      </c>
      <c r="O50" s="161">
        <v>19</v>
      </c>
      <c r="P50" s="161">
        <v>14</v>
      </c>
      <c r="Q50" s="212">
        <v>73</v>
      </c>
      <c r="R50" s="161">
        <v>78</v>
      </c>
      <c r="S50" s="161">
        <v>77</v>
      </c>
      <c r="T50" s="161">
        <v>68</v>
      </c>
      <c r="U50" s="161">
        <v>-77</v>
      </c>
      <c r="V50" s="212">
        <v>146</v>
      </c>
      <c r="W50" s="161">
        <v>151</v>
      </c>
      <c r="X50" s="161">
        <v>-47</v>
      </c>
      <c r="Y50" s="161">
        <v>-8</v>
      </c>
      <c r="Z50" s="161">
        <v>-51</v>
      </c>
      <c r="AA50" s="212">
        <v>45</v>
      </c>
      <c r="AB50" s="161">
        <v>16</v>
      </c>
      <c r="AC50" s="161">
        <v>7</v>
      </c>
      <c r="AD50" s="161">
        <v>-36</v>
      </c>
      <c r="AE50" s="161">
        <v>-18</v>
      </c>
      <c r="AF50" s="212">
        <v>-90</v>
      </c>
    </row>
    <row r="51" spans="1:32" s="55" customFormat="1" ht="5.25" customHeight="1">
      <c r="A51" s="57"/>
      <c r="B51" s="75">
        <f>names!$A605</f>
        <v>0</v>
      </c>
      <c r="C51" s="165"/>
      <c r="D51" s="165"/>
      <c r="E51" s="165"/>
      <c r="F51" s="165"/>
      <c r="G51" s="216"/>
      <c r="H51" s="165"/>
      <c r="I51" s="165"/>
      <c r="J51" s="165"/>
      <c r="K51" s="165"/>
      <c r="L51" s="216"/>
      <c r="M51" s="165"/>
      <c r="N51" s="165"/>
      <c r="O51" s="165"/>
      <c r="P51" s="165"/>
      <c r="Q51" s="216"/>
      <c r="R51" s="165"/>
      <c r="S51" s="165"/>
      <c r="T51" s="165"/>
      <c r="U51" s="165"/>
      <c r="V51" s="216"/>
      <c r="W51" s="165"/>
      <c r="X51" s="165"/>
      <c r="Y51" s="165"/>
      <c r="Z51" s="165"/>
      <c r="AA51" s="216"/>
      <c r="AB51" s="165"/>
      <c r="AC51" s="165"/>
      <c r="AD51" s="165"/>
      <c r="AE51" s="165"/>
      <c r="AF51" s="216"/>
    </row>
    <row r="52" spans="1:32" s="55" customFormat="1" ht="29.65" customHeight="1">
      <c r="A52" s="57"/>
      <c r="B52" s="3" t="str">
        <f>names!$A606</f>
        <v>Zysk netto i rozwodniony zysk netto na jedną akcję przypadający akcjonariuszom jednostki dominującej (w PLN na akcję)</v>
      </c>
      <c r="C52" s="165"/>
      <c r="D52" s="165"/>
      <c r="E52" s="165"/>
      <c r="F52" s="165"/>
      <c r="G52" s="216"/>
      <c r="H52" s="165"/>
      <c r="I52" s="165"/>
      <c r="J52" s="165"/>
      <c r="K52" s="165"/>
      <c r="L52" s="216"/>
      <c r="M52" s="165"/>
      <c r="N52" s="165"/>
      <c r="O52" s="165"/>
      <c r="P52" s="165"/>
      <c r="Q52" s="216"/>
      <c r="R52" s="165"/>
      <c r="S52" s="165"/>
      <c r="T52" s="165"/>
      <c r="U52" s="165"/>
      <c r="V52" s="216"/>
      <c r="W52" s="165"/>
      <c r="X52" s="165"/>
      <c r="Y52" s="165"/>
      <c r="Z52" s="165"/>
      <c r="AA52" s="216"/>
      <c r="AB52" s="165"/>
      <c r="AC52" s="165"/>
      <c r="AD52" s="165"/>
      <c r="AE52" s="165"/>
      <c r="AF52" s="216"/>
    </row>
    <row r="53" spans="1:32" s="26" customFormat="1">
      <c r="A53" s="82"/>
      <c r="B53" s="80" t="str">
        <f>names!$A607</f>
        <v>podstawowy</v>
      </c>
      <c r="C53" s="775">
        <v>1.98</v>
      </c>
      <c r="D53" s="775">
        <v>3.75</v>
      </c>
      <c r="E53" s="775">
        <v>2.96</v>
      </c>
      <c r="F53" s="775">
        <v>1.3600000000000008</v>
      </c>
      <c r="G53" s="776">
        <v>10.050000000000001</v>
      </c>
      <c r="H53" s="775">
        <v>-5.25</v>
      </c>
      <c r="I53" s="775">
        <v>10.17</v>
      </c>
      <c r="J53" s="775">
        <v>1.52</v>
      </c>
      <c r="K53" s="775">
        <v>0</v>
      </c>
      <c r="L53" s="776">
        <v>6.44</v>
      </c>
      <c r="M53" s="775">
        <v>4.3099999999999996</v>
      </c>
      <c r="N53" s="775">
        <v>5.21</v>
      </c>
      <c r="O53" s="775">
        <v>6.8</v>
      </c>
      <c r="P53" s="775">
        <v>9.68</v>
      </c>
      <c r="Q53" s="776">
        <v>26</v>
      </c>
      <c r="R53" s="775">
        <v>6.48</v>
      </c>
      <c r="S53" s="775">
        <v>8.44</v>
      </c>
      <c r="T53" s="775">
        <v>23.43</v>
      </c>
      <c r="U53" s="775">
        <v>16.04</v>
      </c>
      <c r="V53" s="776">
        <v>34.18</v>
      </c>
      <c r="W53" s="775">
        <v>8.0299999999999994</v>
      </c>
      <c r="X53" s="775">
        <v>5.22</v>
      </c>
      <c r="Y53" s="775">
        <v>3.93</v>
      </c>
      <c r="Z53" s="775">
        <v>0.84</v>
      </c>
      <c r="AA53" s="776">
        <v>18.02</v>
      </c>
      <c r="AB53" s="775">
        <v>2.39</v>
      </c>
      <c r="AC53" s="775">
        <v>0.02</v>
      </c>
      <c r="AD53" s="775">
        <v>0.19</v>
      </c>
      <c r="AE53" s="775">
        <v>4.0199999999999996</v>
      </c>
      <c r="AF53" s="776">
        <v>1.27</v>
      </c>
    </row>
    <row r="54" spans="1:32" s="26" customFormat="1" ht="12" thickBot="1">
      <c r="A54" s="82"/>
      <c r="B54" s="456" t="str">
        <f>names!$A608</f>
        <v>rozwodniony</v>
      </c>
      <c r="C54" s="777">
        <v>1.98</v>
      </c>
      <c r="D54" s="777">
        <v>3.75</v>
      </c>
      <c r="E54" s="777">
        <v>2.96</v>
      </c>
      <c r="F54" s="777">
        <v>1.3600000000000008</v>
      </c>
      <c r="G54" s="778">
        <v>10.050000000000001</v>
      </c>
      <c r="H54" s="777">
        <v>-5.25</v>
      </c>
      <c r="I54" s="777">
        <v>10.17</v>
      </c>
      <c r="J54" s="777">
        <v>1.52</v>
      </c>
      <c r="K54" s="777">
        <v>0</v>
      </c>
      <c r="L54" s="778">
        <v>6.44</v>
      </c>
      <c r="M54" s="777">
        <v>4.3099999999999996</v>
      </c>
      <c r="N54" s="777">
        <v>5.21</v>
      </c>
      <c r="O54" s="777">
        <v>6.8</v>
      </c>
      <c r="P54" s="777">
        <v>9.68</v>
      </c>
      <c r="Q54" s="778">
        <v>26</v>
      </c>
      <c r="R54" s="777">
        <v>6.48</v>
      </c>
      <c r="S54" s="777">
        <v>8.44</v>
      </c>
      <c r="T54" s="777">
        <v>23.43</v>
      </c>
      <c r="U54" s="777">
        <v>16.04</v>
      </c>
      <c r="V54" s="778">
        <v>34.18</v>
      </c>
      <c r="W54" s="777">
        <v>8.0299999999999994</v>
      </c>
      <c r="X54" s="777">
        <v>5.22</v>
      </c>
      <c r="Y54" s="777">
        <v>3.93</v>
      </c>
      <c r="Z54" s="777">
        <v>0.84</v>
      </c>
      <c r="AA54" s="778">
        <v>18.02</v>
      </c>
      <c r="AB54" s="777">
        <v>2.39</v>
      </c>
      <c r="AC54" s="777">
        <v>0.02</v>
      </c>
      <c r="AD54" s="777">
        <v>0.19</v>
      </c>
      <c r="AE54" s="777">
        <v>4.0199999999999996</v>
      </c>
      <c r="AF54" s="778">
        <v>1.27</v>
      </c>
    </row>
    <row r="55" spans="1:32" ht="8.25" customHeight="1">
      <c r="B55" s="3"/>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1.25" customHeight="1">
      <c r="B56" s="3" t="str">
        <f>names!$A610</f>
        <v>*) Dane przekształcone.</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2" customHeight="1">
      <c r="B57" s="705" t="str">
        <f>names!$A611</f>
        <v>**) W okresie 3 miesięcy zakończonym 30 czerwca 2020 roku oraz w okresie 12 miesięcy zakończonym 31 grudnia 2020 roku z uwzględnieniem rozpoznania zysku z tytułu okazyjnego nabycia 80% akcji Grupy ENERGA w wysokości 4 062 mln PLN.</v>
      </c>
      <c r="C57" s="703"/>
      <c r="D57" s="703"/>
      <c r="E57" s="703"/>
      <c r="F57" s="703"/>
      <c r="G57" s="703"/>
      <c r="H57" s="703"/>
      <c r="I57" s="703"/>
      <c r="J57" s="703"/>
      <c r="K57" s="703"/>
      <c r="L57" s="703"/>
      <c r="M57" s="703"/>
      <c r="N57" s="703"/>
      <c r="O57" s="703"/>
      <c r="P57" s="703"/>
      <c r="Q57" s="703"/>
      <c r="R57" s="703"/>
      <c r="S57" s="703"/>
      <c r="T57" s="703"/>
      <c r="U57" s="703"/>
      <c r="V57" s="703"/>
      <c r="W57" s="703"/>
      <c r="X57" s="703"/>
      <c r="Y57" s="703"/>
      <c r="Z57" s="703"/>
      <c r="AA57" s="703"/>
      <c r="AB57" s="703"/>
      <c r="AC57" s="1"/>
      <c r="AD57" s="1"/>
      <c r="AE57" s="1"/>
      <c r="AF57" s="1"/>
    </row>
    <row r="58" spans="1:32" ht="11.25" customHeight="1"/>
    <row r="59" spans="1:32">
      <c r="B59" s="577"/>
      <c r="C59" s="577"/>
      <c r="D59" s="577"/>
      <c r="E59" s="577"/>
      <c r="F59" s="577"/>
      <c r="G59" s="577"/>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row>
  </sheetData>
  <conditionalFormatting sqref="B59:AF59">
    <cfRule type="cellIs" dxfId="37" priority="2" operator="equal">
      <formula>FALSE</formula>
    </cfRule>
  </conditionalFormatting>
  <printOptions horizontalCentered="1"/>
  <pageMargins left="0.39370078740157483" right="0.35433070866141736" top="0.98425196850393704" bottom="0.98425196850393704" header="0.51181102362204722" footer="0.51181102362204722"/>
  <pageSetup paperSize="9" scale="74"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8">
    <tabColor theme="0" tint="-0.34998626667073579"/>
    <pageSetUpPr fitToPage="1"/>
  </sheetPr>
  <dimension ref="A2:HO1183"/>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outlineLevelCol="1"/>
  <cols>
    <col min="1" max="1" width="1.28515625" customWidth="1"/>
    <col min="2" max="2" width="60.28515625" style="1" customWidth="1"/>
    <col min="3" max="5" width="10" style="5" hidden="1" customWidth="1" outlineLevel="1"/>
    <col min="6" max="6" width="10" style="5" customWidth="1" collapsed="1"/>
    <col min="7" max="9" width="10" style="5" hidden="1" customWidth="1" outlineLevel="1"/>
    <col min="10" max="10" width="10" style="5" customWidth="1" collapsed="1"/>
    <col min="11" max="13" width="9.28515625" style="5" hidden="1" customWidth="1" outlineLevel="1" collapsed="1"/>
    <col min="14" max="14" width="9.28515625" style="5" customWidth="1" collapsed="1"/>
  </cols>
  <sheetData>
    <row r="2" spans="1:223" ht="15.75">
      <c r="B2" s="398" t="str">
        <f>names!A1315</f>
        <v>Skonsolidowane sprawozdanie z sytuacji finansowej</v>
      </c>
      <c r="O2" s="577"/>
    </row>
    <row r="3" spans="1:223" ht="10.15" customHeight="1">
      <c r="O3" s="577"/>
    </row>
    <row r="4" spans="1:223" s="61" customFormat="1" ht="21" customHeight="1">
      <c r="A4" s="60"/>
      <c r="B4" s="96" t="str">
        <f>names!A1317</f>
        <v>Wyszczególnienie, 
mln PLN</v>
      </c>
      <c r="C4" s="96" t="s">
        <v>192</v>
      </c>
      <c r="D4" s="96" t="s">
        <v>193</v>
      </c>
      <c r="E4" s="96" t="s">
        <v>194</v>
      </c>
      <c r="F4" s="96" t="s">
        <v>191</v>
      </c>
      <c r="G4" s="96" t="s">
        <v>142</v>
      </c>
      <c r="H4" s="96" t="s">
        <v>146</v>
      </c>
      <c r="I4" s="96" t="s">
        <v>155</v>
      </c>
      <c r="J4" s="96" t="s">
        <v>158</v>
      </c>
      <c r="K4" s="96" t="s">
        <v>163</v>
      </c>
      <c r="L4" s="96" t="s">
        <v>195</v>
      </c>
      <c r="M4" s="96" t="s">
        <v>203</v>
      </c>
      <c r="N4" s="96" t="s">
        <v>204</v>
      </c>
      <c r="O4" s="577"/>
      <c r="P4"/>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row>
    <row r="5" spans="1:223" s="29" customFormat="1" ht="7.15" customHeight="1">
      <c r="B5" s="87"/>
      <c r="C5" s="86"/>
      <c r="D5" s="86"/>
      <c r="E5" s="86"/>
      <c r="F5" s="86"/>
      <c r="G5" s="86"/>
      <c r="H5" s="86"/>
      <c r="I5" s="86"/>
      <c r="J5" s="86"/>
      <c r="K5" s="86"/>
      <c r="L5" s="86"/>
      <c r="M5" s="86"/>
      <c r="N5" s="86"/>
      <c r="O5" s="577"/>
      <c r="P5"/>
    </row>
    <row r="6" spans="1:223" s="5" customFormat="1" ht="9" customHeight="1">
      <c r="B6" s="68" t="str">
        <f>names!A1319</f>
        <v>AKTYWA</v>
      </c>
      <c r="C6" s="67"/>
      <c r="D6" s="67"/>
      <c r="E6" s="67"/>
      <c r="F6" s="218"/>
      <c r="G6" s="67"/>
      <c r="H6" s="67"/>
      <c r="I6" s="67"/>
      <c r="J6" s="218"/>
      <c r="K6" s="67"/>
      <c r="L6" s="67"/>
      <c r="M6" s="67"/>
      <c r="N6" s="218"/>
      <c r="O6" s="577"/>
      <c r="P6"/>
    </row>
    <row r="7" spans="1:223" s="5" customFormat="1">
      <c r="B7" s="2" t="str">
        <f>names!A1320</f>
        <v>Rzeczowe aktywa trwałe</v>
      </c>
      <c r="C7" s="170">
        <v>24310</v>
      </c>
      <c r="D7" s="170">
        <v>24527</v>
      </c>
      <c r="E7" s="170">
        <v>24186</v>
      </c>
      <c r="F7" s="219">
        <v>24904</v>
      </c>
      <c r="G7" s="170">
        <v>25234</v>
      </c>
      <c r="H7" s="170">
        <v>22021</v>
      </c>
      <c r="I7" s="170">
        <v>22509</v>
      </c>
      <c r="J7" s="219">
        <v>22644</v>
      </c>
      <c r="K7" s="170">
        <v>22618</v>
      </c>
      <c r="L7" s="170">
        <v>22428</v>
      </c>
      <c r="M7" s="170">
        <v>22489</v>
      </c>
      <c r="N7" s="219">
        <v>24536</v>
      </c>
      <c r="O7" s="577"/>
      <c r="P7"/>
    </row>
    <row r="8" spans="1:223" s="5" customFormat="1">
      <c r="B8" s="83" t="str">
        <f>names!A1321</f>
        <v>Nieruchomości inwestycyjne</v>
      </c>
      <c r="C8" s="170">
        <v>124</v>
      </c>
      <c r="D8" s="170">
        <v>126</v>
      </c>
      <c r="E8" s="170">
        <v>125</v>
      </c>
      <c r="F8" s="219">
        <v>121</v>
      </c>
      <c r="G8" s="170">
        <v>120</v>
      </c>
      <c r="H8" s="170">
        <v>113</v>
      </c>
      <c r="I8" s="170">
        <v>113</v>
      </c>
      <c r="J8" s="219">
        <v>111</v>
      </c>
      <c r="K8" s="170">
        <v>109</v>
      </c>
      <c r="L8" s="170">
        <v>111</v>
      </c>
      <c r="M8" s="170">
        <v>113</v>
      </c>
      <c r="N8" s="219">
        <v>103</v>
      </c>
      <c r="O8" s="577"/>
      <c r="P8"/>
    </row>
    <row r="9" spans="1:223" s="5" customFormat="1">
      <c r="B9" s="2" t="str">
        <f>names!A1322</f>
        <v>Wartości niematerialne</v>
      </c>
      <c r="C9" s="170">
        <v>1224</v>
      </c>
      <c r="D9" s="170">
        <v>982</v>
      </c>
      <c r="E9" s="170">
        <v>974</v>
      </c>
      <c r="F9" s="219">
        <v>823</v>
      </c>
      <c r="G9" s="170">
        <v>1059</v>
      </c>
      <c r="H9" s="170">
        <v>615</v>
      </c>
      <c r="I9" s="170">
        <v>636</v>
      </c>
      <c r="J9" s="219">
        <v>703</v>
      </c>
      <c r="K9" s="170">
        <v>788</v>
      </c>
      <c r="L9" s="170">
        <v>606</v>
      </c>
      <c r="M9" s="170">
        <v>617</v>
      </c>
      <c r="N9" s="219">
        <v>1298</v>
      </c>
      <c r="O9" s="577"/>
      <c r="P9"/>
    </row>
    <row r="10" spans="1:223" s="5" customFormat="1">
      <c r="B10" s="2" t="str">
        <f>names!A1323</f>
        <v>Prawa wieczystego użytkowania gruntów</v>
      </c>
      <c r="C10" s="170">
        <v>93</v>
      </c>
      <c r="D10" s="170">
        <v>93</v>
      </c>
      <c r="E10" s="170">
        <v>92</v>
      </c>
      <c r="F10" s="219">
        <v>95</v>
      </c>
      <c r="G10" s="170">
        <v>94</v>
      </c>
      <c r="H10" s="170">
        <v>88</v>
      </c>
      <c r="I10" s="170">
        <v>89</v>
      </c>
      <c r="J10" s="219">
        <v>89</v>
      </c>
      <c r="K10" s="170">
        <v>93</v>
      </c>
      <c r="L10" s="170">
        <v>94</v>
      </c>
      <c r="M10" s="170">
        <v>96</v>
      </c>
      <c r="N10" s="219">
        <v>99</v>
      </c>
      <c r="O10" s="577"/>
      <c r="P10"/>
    </row>
    <row r="11" spans="1:223" s="5" customFormat="1">
      <c r="B11" s="2" t="str">
        <f>names!A1324</f>
        <v>Inwestycje wyceniane metodą praw własności</v>
      </c>
      <c r="C11" s="170">
        <v>605</v>
      </c>
      <c r="D11" s="170">
        <v>589</v>
      </c>
      <c r="E11" s="170">
        <v>610</v>
      </c>
      <c r="F11" s="219">
        <v>615</v>
      </c>
      <c r="G11" s="170">
        <v>632</v>
      </c>
      <c r="H11" s="170">
        <v>652</v>
      </c>
      <c r="I11" s="170">
        <v>675</v>
      </c>
      <c r="J11" s="219">
        <v>672</v>
      </c>
      <c r="K11" s="170">
        <v>703</v>
      </c>
      <c r="L11" s="170">
        <v>661</v>
      </c>
      <c r="M11" s="170">
        <v>746</v>
      </c>
      <c r="N11" s="219">
        <v>774</v>
      </c>
      <c r="O11" s="577"/>
      <c r="P11"/>
    </row>
    <row r="12" spans="1:223" s="5" customFormat="1">
      <c r="B12" s="2" t="str">
        <f>names!A1325</f>
        <v>Aktywa finansowe dostępne do sprzedaży</v>
      </c>
      <c r="C12" s="170">
        <v>41</v>
      </c>
      <c r="D12" s="170">
        <v>40</v>
      </c>
      <c r="E12" s="170">
        <v>40</v>
      </c>
      <c r="F12" s="219">
        <v>40</v>
      </c>
      <c r="G12" s="170">
        <v>40</v>
      </c>
      <c r="H12" s="170">
        <v>41</v>
      </c>
      <c r="I12" s="170">
        <v>40</v>
      </c>
      <c r="J12" s="219">
        <v>40</v>
      </c>
      <c r="K12" s="170">
        <v>40</v>
      </c>
      <c r="L12" s="170">
        <v>41</v>
      </c>
      <c r="M12" s="170">
        <v>41</v>
      </c>
      <c r="N12" s="219">
        <v>40</v>
      </c>
      <c r="O12" s="577"/>
      <c r="P12"/>
    </row>
    <row r="13" spans="1:223" s="5" customFormat="1">
      <c r="B13" s="2" t="str">
        <f>names!A1326</f>
        <v>Aktywa z tytułu podatku odroczonego</v>
      </c>
      <c r="C13" s="170">
        <v>272</v>
      </c>
      <c r="D13" s="170">
        <v>301</v>
      </c>
      <c r="E13" s="170">
        <v>262</v>
      </c>
      <c r="F13" s="219">
        <v>151</v>
      </c>
      <c r="G13" s="170">
        <v>154</v>
      </c>
      <c r="H13" s="170">
        <v>237</v>
      </c>
      <c r="I13" s="170">
        <v>223</v>
      </c>
      <c r="J13" s="219">
        <v>385</v>
      </c>
      <c r="K13" s="170">
        <v>244</v>
      </c>
      <c r="L13" s="170">
        <v>272</v>
      </c>
      <c r="M13" s="170">
        <v>261</v>
      </c>
      <c r="N13" s="219">
        <v>365</v>
      </c>
      <c r="O13" s="577"/>
      <c r="P13"/>
    </row>
    <row r="14" spans="1:223" s="5" customFormat="1">
      <c r="B14" s="2" t="str">
        <f>names!A1327</f>
        <v>Pozostałe aktywa finansowe</v>
      </c>
      <c r="C14" s="170">
        <v>26</v>
      </c>
      <c r="D14" s="170">
        <v>41</v>
      </c>
      <c r="E14" s="170">
        <v>64</v>
      </c>
      <c r="F14" s="219">
        <v>158</v>
      </c>
      <c r="G14" s="170">
        <v>35</v>
      </c>
      <c r="H14" s="170">
        <v>41</v>
      </c>
      <c r="I14" s="170">
        <v>140</v>
      </c>
      <c r="J14" s="219">
        <v>327</v>
      </c>
      <c r="K14" s="170">
        <v>519</v>
      </c>
      <c r="L14" s="170">
        <v>375</v>
      </c>
      <c r="M14" s="170">
        <v>481</v>
      </c>
      <c r="N14" s="219">
        <v>147</v>
      </c>
      <c r="O14" s="577"/>
      <c r="P14"/>
    </row>
    <row r="15" spans="1:223" s="5" customFormat="1">
      <c r="B15" s="71" t="str">
        <f>names!A1328</f>
        <v>Aktywa trwałe</v>
      </c>
      <c r="C15" s="171">
        <v>26695</v>
      </c>
      <c r="D15" s="171">
        <v>26699</v>
      </c>
      <c r="E15" s="171">
        <v>26353</v>
      </c>
      <c r="F15" s="220">
        <v>26907</v>
      </c>
      <c r="G15" s="171">
        <v>27368</v>
      </c>
      <c r="H15" s="171">
        <v>23808</v>
      </c>
      <c r="I15" s="171">
        <v>24425</v>
      </c>
      <c r="J15" s="220">
        <v>24971</v>
      </c>
      <c r="K15" s="171">
        <v>25114</v>
      </c>
      <c r="L15" s="171">
        <v>24588</v>
      </c>
      <c r="M15" s="171">
        <v>24844</v>
      </c>
      <c r="N15" s="220">
        <v>27362</v>
      </c>
      <c r="O15" s="577"/>
      <c r="P15"/>
    </row>
    <row r="16" spans="1:223" s="5" customFormat="1">
      <c r="B16" s="2" t="str">
        <f>names!A1329</f>
        <v>Zapasy</v>
      </c>
      <c r="C16" s="170">
        <v>16507</v>
      </c>
      <c r="D16" s="170">
        <v>13830</v>
      </c>
      <c r="E16" s="170">
        <v>15264</v>
      </c>
      <c r="F16" s="219">
        <v>13749</v>
      </c>
      <c r="G16" s="170">
        <v>16208</v>
      </c>
      <c r="H16" s="170">
        <v>12894</v>
      </c>
      <c r="I16" s="170">
        <v>12770</v>
      </c>
      <c r="J16" s="219">
        <v>9829</v>
      </c>
      <c r="K16" s="170">
        <v>10167</v>
      </c>
      <c r="L16" s="170">
        <v>10721</v>
      </c>
      <c r="M16" s="170">
        <v>11916</v>
      </c>
      <c r="N16" s="219">
        <v>10715</v>
      </c>
      <c r="O16" s="577"/>
      <c r="P16"/>
    </row>
    <row r="17" spans="2:16" s="5" customFormat="1">
      <c r="B17" s="2" t="str">
        <f>names!A1330</f>
        <v>Należności z tytułu dostaw i usług oraz pozostałe należności</v>
      </c>
      <c r="C17" s="170">
        <v>8762</v>
      </c>
      <c r="D17" s="170">
        <v>8817</v>
      </c>
      <c r="E17" s="170">
        <v>8999</v>
      </c>
      <c r="F17" s="219">
        <v>7768</v>
      </c>
      <c r="G17" s="170">
        <v>8406</v>
      </c>
      <c r="H17" s="170">
        <v>8362</v>
      </c>
      <c r="I17" s="170">
        <v>8439</v>
      </c>
      <c r="J17" s="219">
        <v>7057</v>
      </c>
      <c r="K17" s="170">
        <v>7429</v>
      </c>
      <c r="L17" s="170">
        <v>9088</v>
      </c>
      <c r="M17" s="170">
        <v>7663</v>
      </c>
      <c r="N17" s="219">
        <v>6597</v>
      </c>
      <c r="O17" s="577"/>
      <c r="P17"/>
    </row>
    <row r="18" spans="2:16" s="5" customFormat="1">
      <c r="B18" s="2" t="str">
        <f>names!A1331</f>
        <v>Pozostałe aktywa finansowe</v>
      </c>
      <c r="C18" s="170">
        <v>82</v>
      </c>
      <c r="D18" s="170">
        <v>288</v>
      </c>
      <c r="E18" s="170">
        <v>78</v>
      </c>
      <c r="F18" s="219">
        <v>165</v>
      </c>
      <c r="G18" s="170">
        <v>176</v>
      </c>
      <c r="H18" s="170">
        <v>203</v>
      </c>
      <c r="I18" s="170">
        <v>339</v>
      </c>
      <c r="J18" s="219">
        <v>862</v>
      </c>
      <c r="K18" s="170">
        <v>674</v>
      </c>
      <c r="L18" s="170">
        <v>455</v>
      </c>
      <c r="M18" s="170">
        <v>520</v>
      </c>
      <c r="N18" s="219">
        <v>974</v>
      </c>
      <c r="O18" s="577"/>
      <c r="P18"/>
    </row>
    <row r="19" spans="2:16" s="5" customFormat="1">
      <c r="B19" s="2" t="str">
        <f>names!A1332</f>
        <v>Należności z tytułu podatku dochodowego</v>
      </c>
      <c r="C19" s="170">
        <v>119</v>
      </c>
      <c r="D19" s="170">
        <v>63</v>
      </c>
      <c r="E19" s="170">
        <v>54</v>
      </c>
      <c r="F19" s="219">
        <v>59</v>
      </c>
      <c r="G19" s="170">
        <v>66</v>
      </c>
      <c r="H19" s="170">
        <v>32</v>
      </c>
      <c r="I19" s="170">
        <v>24</v>
      </c>
      <c r="J19" s="219">
        <v>35</v>
      </c>
      <c r="K19" s="170">
        <v>44</v>
      </c>
      <c r="L19" s="170">
        <v>26</v>
      </c>
      <c r="M19" s="170">
        <v>37</v>
      </c>
      <c r="N19" s="219">
        <v>44</v>
      </c>
      <c r="O19" s="577"/>
      <c r="P19"/>
    </row>
    <row r="20" spans="2:16" s="5" customFormat="1">
      <c r="B20" s="2" t="str">
        <f>names!A1333</f>
        <v>Środki pieniężne i ich ekwiwalenty</v>
      </c>
      <c r="C20" s="170">
        <v>1145</v>
      </c>
      <c r="D20" s="170">
        <v>4414</v>
      </c>
      <c r="E20" s="170">
        <v>2492</v>
      </c>
      <c r="F20" s="219">
        <v>2689</v>
      </c>
      <c r="G20" s="170">
        <v>758</v>
      </c>
      <c r="H20" s="170">
        <v>5295</v>
      </c>
      <c r="I20" s="170">
        <v>4981</v>
      </c>
      <c r="J20" s="219">
        <v>3937</v>
      </c>
      <c r="K20" s="170">
        <v>3090</v>
      </c>
      <c r="L20" s="170">
        <v>4140</v>
      </c>
      <c r="M20" s="170">
        <v>4869</v>
      </c>
      <c r="N20" s="219">
        <v>2348</v>
      </c>
      <c r="O20" s="577"/>
      <c r="P20"/>
    </row>
    <row r="21" spans="2:16" s="5" customFormat="1">
      <c r="B21" s="2" t="str">
        <f>names!A1334</f>
        <v>Aktywa trwałe przeznaczone do sprzedaży</v>
      </c>
      <c r="C21" s="170">
        <v>20</v>
      </c>
      <c r="D21" s="170">
        <v>20</v>
      </c>
      <c r="E21" s="170">
        <v>16</v>
      </c>
      <c r="F21" s="219">
        <v>15</v>
      </c>
      <c r="G21" s="170">
        <v>24</v>
      </c>
      <c r="H21" s="170">
        <v>13</v>
      </c>
      <c r="I21" s="170">
        <v>6</v>
      </c>
      <c r="J21" s="219">
        <v>34</v>
      </c>
      <c r="K21" s="170">
        <v>17</v>
      </c>
      <c r="L21" s="170">
        <v>7</v>
      </c>
      <c r="M21" s="170">
        <v>17</v>
      </c>
      <c r="N21" s="219">
        <v>97</v>
      </c>
      <c r="O21" s="577"/>
      <c r="P21"/>
    </row>
    <row r="22" spans="2:16" s="5" customFormat="1" ht="13.5" thickBot="1">
      <c r="B22" s="90" t="str">
        <f>names!A1335</f>
        <v>Aktywa obrotowe</v>
      </c>
      <c r="C22" s="172">
        <v>26635</v>
      </c>
      <c r="D22" s="172">
        <v>27432</v>
      </c>
      <c r="E22" s="172">
        <v>26903</v>
      </c>
      <c r="F22" s="221">
        <v>24445</v>
      </c>
      <c r="G22" s="172">
        <v>25638</v>
      </c>
      <c r="H22" s="172">
        <v>26799</v>
      </c>
      <c r="I22" s="172">
        <v>26559</v>
      </c>
      <c r="J22" s="221">
        <v>21754</v>
      </c>
      <c r="K22" s="172">
        <v>21421</v>
      </c>
      <c r="L22" s="172">
        <v>24437</v>
      </c>
      <c r="M22" s="172">
        <v>25022</v>
      </c>
      <c r="N22" s="221">
        <v>20775</v>
      </c>
      <c r="O22" s="577"/>
      <c r="P22"/>
    </row>
    <row r="23" spans="2:16" s="5" customFormat="1" ht="13.5" thickBot="1">
      <c r="B23" s="84" t="str">
        <f>names!A1336</f>
        <v>Aktywa razem</v>
      </c>
      <c r="C23" s="166">
        <v>53330</v>
      </c>
      <c r="D23" s="166">
        <v>54131</v>
      </c>
      <c r="E23" s="166">
        <v>53256</v>
      </c>
      <c r="F23" s="222">
        <v>51352</v>
      </c>
      <c r="G23" s="166">
        <v>53006</v>
      </c>
      <c r="H23" s="166">
        <v>50607</v>
      </c>
      <c r="I23" s="166">
        <v>50984</v>
      </c>
      <c r="J23" s="222">
        <v>46725</v>
      </c>
      <c r="K23" s="166">
        <v>46535</v>
      </c>
      <c r="L23" s="166">
        <v>49025</v>
      </c>
      <c r="M23" s="166">
        <v>49866</v>
      </c>
      <c r="N23" s="222">
        <v>48137</v>
      </c>
      <c r="O23" s="577"/>
      <c r="P23"/>
    </row>
    <row r="24" spans="2:16" s="5" customFormat="1">
      <c r="B24" s="68" t="str">
        <f>names!A1337</f>
        <v>PASYWA</v>
      </c>
      <c r="C24" s="173"/>
      <c r="D24" s="173"/>
      <c r="E24" s="173"/>
      <c r="F24" s="223"/>
      <c r="G24" s="173"/>
      <c r="H24" s="173"/>
      <c r="I24" s="173"/>
      <c r="J24" s="223"/>
      <c r="K24" s="173"/>
      <c r="L24" s="173"/>
      <c r="M24" s="173"/>
      <c r="N24" s="223"/>
      <c r="O24" s="577"/>
      <c r="P24"/>
    </row>
    <row r="25" spans="2:16" s="5" customFormat="1">
      <c r="B25" s="68" t="str">
        <f>names!A1338</f>
        <v>KAPITAŁ WŁASNY</v>
      </c>
      <c r="C25" s="173"/>
      <c r="D25" s="173"/>
      <c r="E25" s="173"/>
      <c r="F25" s="223"/>
      <c r="G25" s="173"/>
      <c r="H25" s="173"/>
      <c r="I25" s="173"/>
      <c r="J25" s="223"/>
      <c r="K25" s="173"/>
      <c r="L25" s="173"/>
      <c r="M25" s="173"/>
      <c r="N25" s="223"/>
      <c r="O25" s="577"/>
      <c r="P25"/>
    </row>
    <row r="26" spans="2:16" s="5" customFormat="1">
      <c r="B26" s="2" t="str">
        <f>names!A1339</f>
        <v>Kapitał podstawowy</v>
      </c>
      <c r="C26" s="170">
        <v>1058</v>
      </c>
      <c r="D26" s="170">
        <v>1058</v>
      </c>
      <c r="E26" s="170">
        <v>1058</v>
      </c>
      <c r="F26" s="219">
        <v>1058</v>
      </c>
      <c r="G26" s="170">
        <v>1058</v>
      </c>
      <c r="H26" s="170">
        <v>1058</v>
      </c>
      <c r="I26" s="170">
        <v>1058</v>
      </c>
      <c r="J26" s="219">
        <v>1058</v>
      </c>
      <c r="K26" s="170">
        <v>1058</v>
      </c>
      <c r="L26" s="170">
        <v>1058</v>
      </c>
      <c r="M26" s="170">
        <v>1058</v>
      </c>
      <c r="N26" s="219">
        <v>1058</v>
      </c>
      <c r="O26" s="577"/>
      <c r="P26"/>
    </row>
    <row r="27" spans="2:16" s="5" customFormat="1">
      <c r="B27" s="2" t="str">
        <f>names!A1340</f>
        <v>Kapitał z emisji akcji powyżej ich wartości nominalnej</v>
      </c>
      <c r="C27" s="170">
        <v>1227</v>
      </c>
      <c r="D27" s="170">
        <v>1227</v>
      </c>
      <c r="E27" s="170">
        <v>1227</v>
      </c>
      <c r="F27" s="219">
        <v>1227</v>
      </c>
      <c r="G27" s="170">
        <v>1227</v>
      </c>
      <c r="H27" s="170">
        <v>1227</v>
      </c>
      <c r="I27" s="170">
        <v>1227</v>
      </c>
      <c r="J27" s="219">
        <v>1227</v>
      </c>
      <c r="K27" s="170">
        <v>1227</v>
      </c>
      <c r="L27" s="170">
        <v>1227</v>
      </c>
      <c r="M27" s="170">
        <v>1227</v>
      </c>
      <c r="N27" s="219">
        <v>1227</v>
      </c>
      <c r="O27" s="577"/>
      <c r="P27"/>
    </row>
    <row r="28" spans="2:16" s="5" customFormat="1">
      <c r="B28" s="2" t="str">
        <f>names!A1341</f>
        <v xml:space="preserve">Kapitał z tytułu stosowania rachunkowości zabezpieczeń </v>
      </c>
      <c r="C28" s="170">
        <v>-52</v>
      </c>
      <c r="D28" s="170">
        <v>-141</v>
      </c>
      <c r="E28" s="170">
        <v>9</v>
      </c>
      <c r="F28" s="219">
        <v>148</v>
      </c>
      <c r="G28" s="170">
        <v>59</v>
      </c>
      <c r="H28" s="170">
        <v>-39</v>
      </c>
      <c r="I28" s="170">
        <v>-133</v>
      </c>
      <c r="J28" s="219">
        <v>-1319</v>
      </c>
      <c r="K28" s="170">
        <v>-1061</v>
      </c>
      <c r="L28" s="170">
        <v>-1030</v>
      </c>
      <c r="M28" s="170">
        <v>-215</v>
      </c>
      <c r="N28" s="219">
        <v>-80</v>
      </c>
      <c r="O28" s="577"/>
      <c r="P28"/>
    </row>
    <row r="29" spans="2:16" s="5" customFormat="1">
      <c r="B29" s="2" t="str">
        <f>names!A1342</f>
        <v>Kapitał z aktualizacji wyceny</v>
      </c>
      <c r="C29" s="170">
        <v>2</v>
      </c>
      <c r="D29" s="170">
        <v>1</v>
      </c>
      <c r="E29" s="170">
        <v>1</v>
      </c>
      <c r="F29" s="219">
        <v>0</v>
      </c>
      <c r="G29" s="170">
        <v>0</v>
      </c>
      <c r="H29" s="170">
        <v>0</v>
      </c>
      <c r="I29" s="170">
        <v>0</v>
      </c>
      <c r="J29" s="219">
        <v>0</v>
      </c>
      <c r="K29" s="170">
        <v>0</v>
      </c>
      <c r="L29" s="170">
        <v>0</v>
      </c>
      <c r="M29" s="170">
        <v>0</v>
      </c>
      <c r="N29" s="219">
        <v>0</v>
      </c>
      <c r="O29" s="577"/>
      <c r="P29"/>
    </row>
    <row r="30" spans="2:16" s="5" customFormat="1">
      <c r="B30" s="2" t="str">
        <f>names!A1343</f>
        <v>Różnice kursowe z przeliczenia jednostek podporządkowanych</v>
      </c>
      <c r="C30" s="170">
        <v>192</v>
      </c>
      <c r="D30" s="170">
        <v>303</v>
      </c>
      <c r="E30" s="170">
        <v>132</v>
      </c>
      <c r="F30" s="219">
        <v>-201</v>
      </c>
      <c r="G30" s="170">
        <v>-231</v>
      </c>
      <c r="H30" s="170">
        <v>467</v>
      </c>
      <c r="I30" s="170">
        <v>478</v>
      </c>
      <c r="J30" s="219">
        <v>509</v>
      </c>
      <c r="K30" s="170">
        <v>424</v>
      </c>
      <c r="L30" s="170">
        <v>547</v>
      </c>
      <c r="M30" s="170">
        <v>513</v>
      </c>
      <c r="N30" s="219">
        <v>537</v>
      </c>
      <c r="O30" s="577"/>
      <c r="P30"/>
    </row>
    <row r="31" spans="2:16" s="5" customFormat="1">
      <c r="B31" s="2" t="str">
        <f>names!A1344</f>
        <v>Zyski zatrzymane</v>
      </c>
      <c r="C31" s="170">
        <v>24328</v>
      </c>
      <c r="D31" s="170">
        <v>23480</v>
      </c>
      <c r="E31" s="170">
        <v>24134</v>
      </c>
      <c r="F31" s="219">
        <v>23716</v>
      </c>
      <c r="G31" s="170">
        <v>23803</v>
      </c>
      <c r="H31" s="170">
        <v>17990</v>
      </c>
      <c r="I31" s="170">
        <v>18528</v>
      </c>
      <c r="J31" s="219">
        <v>17296</v>
      </c>
      <c r="K31" s="170">
        <v>18052</v>
      </c>
      <c r="L31" s="170">
        <v>18713</v>
      </c>
      <c r="M31" s="170">
        <v>19508</v>
      </c>
      <c r="N31" s="219">
        <v>19431</v>
      </c>
      <c r="O31" s="577"/>
      <c r="P31"/>
    </row>
    <row r="32" spans="2:16" s="5" customFormat="1">
      <c r="B32" s="393" t="str">
        <f>names!A1345</f>
        <v>Kapitał własny przypadający na akcjonariuszy jednostki dominującej</v>
      </c>
      <c r="C32" s="171">
        <v>26755</v>
      </c>
      <c r="D32" s="171">
        <v>25928</v>
      </c>
      <c r="E32" s="171">
        <v>26561</v>
      </c>
      <c r="F32" s="220">
        <v>25948</v>
      </c>
      <c r="G32" s="171">
        <v>25916</v>
      </c>
      <c r="H32" s="171">
        <v>20703</v>
      </c>
      <c r="I32" s="171">
        <v>21158</v>
      </c>
      <c r="J32" s="220">
        <v>18771</v>
      </c>
      <c r="K32" s="171">
        <v>19700</v>
      </c>
      <c r="L32" s="171">
        <v>20515</v>
      </c>
      <c r="M32" s="171">
        <v>22091</v>
      </c>
      <c r="N32" s="220">
        <v>22173</v>
      </c>
      <c r="O32" s="577"/>
      <c r="P32"/>
    </row>
    <row r="33" spans="2:16" s="5" customFormat="1">
      <c r="B33" s="71" t="str">
        <f>names!A1346</f>
        <v>Kapitał własny przypadający udziałom niekontrolującym</v>
      </c>
      <c r="C33" s="174">
        <v>1808</v>
      </c>
      <c r="D33" s="174">
        <v>1833</v>
      </c>
      <c r="E33" s="174">
        <v>1803</v>
      </c>
      <c r="F33" s="224">
        <v>1603</v>
      </c>
      <c r="G33" s="174">
        <v>1696</v>
      </c>
      <c r="H33" s="174">
        <v>1492</v>
      </c>
      <c r="I33" s="174">
        <v>1585</v>
      </c>
      <c r="J33" s="224">
        <v>1615</v>
      </c>
      <c r="K33" s="174">
        <v>1654</v>
      </c>
      <c r="L33" s="174">
        <v>1892</v>
      </c>
      <c r="M33" s="174">
        <v>2010</v>
      </c>
      <c r="N33" s="224">
        <v>2071</v>
      </c>
      <c r="O33" s="577"/>
      <c r="P33"/>
    </row>
    <row r="34" spans="2:16" s="5" customFormat="1">
      <c r="B34" s="71" t="str">
        <f>names!A1347</f>
        <v>Kapitał własny razem</v>
      </c>
      <c r="C34" s="171">
        <v>28563</v>
      </c>
      <c r="D34" s="171">
        <v>27761</v>
      </c>
      <c r="E34" s="171">
        <v>28364</v>
      </c>
      <c r="F34" s="220">
        <v>27551</v>
      </c>
      <c r="G34" s="171">
        <v>27612</v>
      </c>
      <c r="H34" s="171">
        <v>22195</v>
      </c>
      <c r="I34" s="171">
        <v>22743</v>
      </c>
      <c r="J34" s="220">
        <v>20386</v>
      </c>
      <c r="K34" s="171">
        <v>21354</v>
      </c>
      <c r="L34" s="171">
        <v>22407</v>
      </c>
      <c r="M34" s="171">
        <v>24101</v>
      </c>
      <c r="N34" s="220">
        <v>24244</v>
      </c>
      <c r="O34" s="577"/>
      <c r="P34"/>
    </row>
    <row r="35" spans="2:16" s="5" customFormat="1">
      <c r="B35" s="103" t="str">
        <f>names!A1348</f>
        <v>ZOBOWIĄZANIA</v>
      </c>
      <c r="C35" s="172"/>
      <c r="D35" s="172"/>
      <c r="E35" s="172"/>
      <c r="F35" s="221"/>
      <c r="G35" s="172"/>
      <c r="H35" s="172"/>
      <c r="I35" s="172"/>
      <c r="J35" s="221"/>
      <c r="K35" s="172"/>
      <c r="L35" s="172"/>
      <c r="M35" s="172"/>
      <c r="N35" s="221"/>
      <c r="O35" s="577"/>
      <c r="P35"/>
    </row>
    <row r="36" spans="2:16" s="5" customFormat="1">
      <c r="B36" s="2" t="str">
        <f>names!A1349</f>
        <v>Kredyty, pożyczki i obligacje</v>
      </c>
      <c r="C36" s="175">
        <v>6507</v>
      </c>
      <c r="D36" s="175">
        <v>6852</v>
      </c>
      <c r="E36" s="175">
        <v>5772</v>
      </c>
      <c r="F36" s="225">
        <v>6507</v>
      </c>
      <c r="G36" s="175">
        <v>7734</v>
      </c>
      <c r="H36" s="175">
        <v>10123</v>
      </c>
      <c r="I36" s="175">
        <v>10054</v>
      </c>
      <c r="J36" s="225">
        <v>9670</v>
      </c>
      <c r="K36" s="175">
        <v>8733</v>
      </c>
      <c r="L36" s="175">
        <v>8046</v>
      </c>
      <c r="M36" s="175">
        <v>9656</v>
      </c>
      <c r="N36" s="225">
        <v>8131</v>
      </c>
      <c r="O36" s="577"/>
      <c r="P36"/>
    </row>
    <row r="37" spans="2:16" s="5" customFormat="1">
      <c r="B37" s="2" t="str">
        <f>names!A1350</f>
        <v xml:space="preserve">Rezerwy </v>
      </c>
      <c r="C37" s="175">
        <v>656</v>
      </c>
      <c r="D37" s="175">
        <v>668</v>
      </c>
      <c r="E37" s="175">
        <v>667</v>
      </c>
      <c r="F37" s="225">
        <v>658</v>
      </c>
      <c r="G37" s="175">
        <v>657</v>
      </c>
      <c r="H37" s="175">
        <v>676</v>
      </c>
      <c r="I37" s="175">
        <v>681</v>
      </c>
      <c r="J37" s="225">
        <v>709</v>
      </c>
      <c r="K37" s="175">
        <v>707</v>
      </c>
      <c r="L37" s="175">
        <v>740</v>
      </c>
      <c r="M37" s="175">
        <v>740</v>
      </c>
      <c r="N37" s="225">
        <v>710</v>
      </c>
      <c r="O37" s="577"/>
      <c r="P37"/>
    </row>
    <row r="38" spans="2:16" s="5" customFormat="1">
      <c r="B38" s="2" t="str">
        <f>names!A1351</f>
        <v>Zobowiązania z tytułu podatku odroczonego</v>
      </c>
      <c r="C38" s="175">
        <v>673</v>
      </c>
      <c r="D38" s="175">
        <v>581</v>
      </c>
      <c r="E38" s="175">
        <v>717</v>
      </c>
      <c r="F38" s="225">
        <v>538</v>
      </c>
      <c r="G38" s="175">
        <v>482</v>
      </c>
      <c r="H38" s="175">
        <v>458</v>
      </c>
      <c r="I38" s="175">
        <v>465</v>
      </c>
      <c r="J38" s="225">
        <v>75</v>
      </c>
      <c r="K38" s="175">
        <v>113</v>
      </c>
      <c r="L38" s="175">
        <v>332</v>
      </c>
      <c r="M38" s="175">
        <v>549</v>
      </c>
      <c r="N38" s="225">
        <v>674</v>
      </c>
      <c r="O38" s="577"/>
      <c r="P38"/>
    </row>
    <row r="39" spans="2:16" s="5" customFormat="1" ht="11.25">
      <c r="B39" s="2" t="str">
        <f>names!A1352</f>
        <v>Przychody przyszłych okresów</v>
      </c>
      <c r="C39" s="175">
        <v>15</v>
      </c>
      <c r="D39" s="175">
        <v>15</v>
      </c>
      <c r="E39" s="175">
        <v>15</v>
      </c>
      <c r="F39" s="225">
        <v>10</v>
      </c>
      <c r="G39" s="175">
        <v>10</v>
      </c>
      <c r="H39" s="175">
        <v>9</v>
      </c>
      <c r="I39" s="175">
        <v>10</v>
      </c>
      <c r="J39" s="225">
        <v>8</v>
      </c>
      <c r="K39" s="175">
        <v>8</v>
      </c>
      <c r="L39" s="175">
        <v>8</v>
      </c>
      <c r="M39" s="175">
        <v>8</v>
      </c>
      <c r="N39" s="225">
        <v>8</v>
      </c>
      <c r="O39" s="577"/>
    </row>
    <row r="40" spans="2:16" s="5" customFormat="1" ht="11.25">
      <c r="B40" s="2" t="str">
        <f>names!A1353</f>
        <v>Pozostałe zobowiązania finansowe</v>
      </c>
      <c r="C40" s="175">
        <v>153</v>
      </c>
      <c r="D40" s="175">
        <v>177</v>
      </c>
      <c r="E40" s="175">
        <v>157</v>
      </c>
      <c r="F40" s="225">
        <v>133</v>
      </c>
      <c r="G40" s="175">
        <v>219</v>
      </c>
      <c r="H40" s="175">
        <v>468</v>
      </c>
      <c r="I40" s="175">
        <v>702</v>
      </c>
      <c r="J40" s="225">
        <v>1843</v>
      </c>
      <c r="K40" s="175">
        <v>819</v>
      </c>
      <c r="L40" s="175">
        <v>785</v>
      </c>
      <c r="M40" s="175">
        <v>1128</v>
      </c>
      <c r="N40" s="225">
        <v>704</v>
      </c>
      <c r="O40" s="577"/>
    </row>
    <row r="41" spans="2:16" s="5" customFormat="1" ht="11.25">
      <c r="B41" s="71" t="str">
        <f>names!A1354</f>
        <v>Zobowiązania długoterminowe</v>
      </c>
      <c r="C41" s="171">
        <v>8004</v>
      </c>
      <c r="D41" s="171">
        <v>8293</v>
      </c>
      <c r="E41" s="171">
        <v>7328</v>
      </c>
      <c r="F41" s="220">
        <v>7846</v>
      </c>
      <c r="G41" s="171">
        <v>9102</v>
      </c>
      <c r="H41" s="171">
        <v>11734</v>
      </c>
      <c r="I41" s="171">
        <v>11912</v>
      </c>
      <c r="J41" s="220">
        <v>12305</v>
      </c>
      <c r="K41" s="171">
        <v>10380</v>
      </c>
      <c r="L41" s="171">
        <v>9911</v>
      </c>
      <c r="M41" s="171">
        <v>12081</v>
      </c>
      <c r="N41" s="220">
        <v>10227</v>
      </c>
      <c r="O41" s="577"/>
    </row>
    <row r="42" spans="2:16" s="5" customFormat="1" ht="11.25">
      <c r="B42" s="3" t="str">
        <f>names!A1355</f>
        <v>Zobowiązania z tytułu dostaw i usług oraz pozostałe zobowiązania</v>
      </c>
      <c r="C42" s="175">
        <v>12449</v>
      </c>
      <c r="D42" s="175">
        <v>14405</v>
      </c>
      <c r="E42" s="175">
        <v>15120</v>
      </c>
      <c r="F42" s="225">
        <v>14013</v>
      </c>
      <c r="G42" s="175">
        <v>12985</v>
      </c>
      <c r="H42" s="175">
        <v>14392</v>
      </c>
      <c r="I42" s="175">
        <v>14668</v>
      </c>
      <c r="J42" s="225">
        <v>11215</v>
      </c>
      <c r="K42" s="175">
        <v>11310</v>
      </c>
      <c r="L42" s="175">
        <v>13732</v>
      </c>
      <c r="M42" s="175">
        <v>11454</v>
      </c>
      <c r="N42" s="225">
        <v>10658</v>
      </c>
      <c r="O42" s="577"/>
    </row>
    <row r="43" spans="2:16" s="5" customFormat="1" ht="11.25">
      <c r="B43" s="2" t="str">
        <f>names!A1356</f>
        <v>Kredyty, pożyczki i dłużne papiery wartościowe</v>
      </c>
      <c r="C43" s="175">
        <v>3145</v>
      </c>
      <c r="D43" s="175">
        <v>2695</v>
      </c>
      <c r="E43" s="175">
        <v>1585</v>
      </c>
      <c r="F43" s="225">
        <v>850</v>
      </c>
      <c r="G43" s="175">
        <v>2040</v>
      </c>
      <c r="H43" s="175">
        <v>1508</v>
      </c>
      <c r="I43" s="175">
        <v>811</v>
      </c>
      <c r="J43" s="225">
        <v>987</v>
      </c>
      <c r="K43" s="175">
        <v>518</v>
      </c>
      <c r="L43" s="175">
        <v>535</v>
      </c>
      <c r="M43" s="175">
        <v>896</v>
      </c>
      <c r="N43" s="225">
        <v>1027</v>
      </c>
      <c r="O43" s="577"/>
    </row>
    <row r="44" spans="2:16" s="5" customFormat="1" ht="11.25">
      <c r="B44" s="2" t="str">
        <f>names!A1357</f>
        <v>Podatek dochodowy</v>
      </c>
      <c r="C44" s="175">
        <v>54</v>
      </c>
      <c r="D44" s="175">
        <v>20</v>
      </c>
      <c r="E44" s="175">
        <v>20</v>
      </c>
      <c r="F44" s="225">
        <v>36</v>
      </c>
      <c r="G44" s="175">
        <v>46</v>
      </c>
      <c r="H44" s="175">
        <v>19</v>
      </c>
      <c r="I44" s="175">
        <v>55</v>
      </c>
      <c r="J44" s="225">
        <v>42</v>
      </c>
      <c r="K44" s="175">
        <v>17</v>
      </c>
      <c r="L44" s="175">
        <v>118</v>
      </c>
      <c r="M44" s="175">
        <v>203</v>
      </c>
      <c r="N44" s="225">
        <v>162</v>
      </c>
      <c r="O44" s="577"/>
    </row>
    <row r="45" spans="2:16" s="5" customFormat="1" ht="11.25">
      <c r="B45" s="2" t="str">
        <f>names!A1358</f>
        <v>Rezerwy</v>
      </c>
      <c r="C45" s="175">
        <v>764</v>
      </c>
      <c r="D45" s="175">
        <v>577</v>
      </c>
      <c r="E45" s="175">
        <v>604</v>
      </c>
      <c r="F45" s="225">
        <v>821</v>
      </c>
      <c r="G45" s="175">
        <v>874</v>
      </c>
      <c r="H45" s="175">
        <v>424</v>
      </c>
      <c r="I45" s="175">
        <v>497</v>
      </c>
      <c r="J45" s="225">
        <v>648</v>
      </c>
      <c r="K45" s="175">
        <v>704</v>
      </c>
      <c r="L45" s="175">
        <v>475</v>
      </c>
      <c r="M45" s="175">
        <v>597</v>
      </c>
      <c r="N45" s="225">
        <v>749</v>
      </c>
      <c r="O45" s="577"/>
    </row>
    <row r="46" spans="2:16" s="5" customFormat="1" ht="11.25">
      <c r="B46" s="2" t="str">
        <f>names!A1359</f>
        <v>Przychody przyszłych okresów</v>
      </c>
      <c r="C46" s="175">
        <v>256</v>
      </c>
      <c r="D46" s="175">
        <v>224</v>
      </c>
      <c r="E46" s="175">
        <v>181</v>
      </c>
      <c r="F46" s="225">
        <v>124</v>
      </c>
      <c r="G46" s="175">
        <v>279</v>
      </c>
      <c r="H46" s="175">
        <v>239</v>
      </c>
      <c r="I46" s="175">
        <v>190</v>
      </c>
      <c r="J46" s="225">
        <v>122</v>
      </c>
      <c r="K46" s="175">
        <v>282</v>
      </c>
      <c r="L46" s="175">
        <v>244</v>
      </c>
      <c r="M46" s="175">
        <v>191</v>
      </c>
      <c r="N46" s="225">
        <v>128</v>
      </c>
      <c r="O46" s="577"/>
    </row>
    <row r="47" spans="2:16" s="5" customFormat="1" ht="11.25">
      <c r="B47" s="2" t="str">
        <f>names!A1360</f>
        <v>Pozostałe zobowiązania finansowe</v>
      </c>
      <c r="C47" s="175">
        <v>95</v>
      </c>
      <c r="D47" s="175">
        <v>155</v>
      </c>
      <c r="E47" s="175">
        <v>53</v>
      </c>
      <c r="F47" s="225">
        <v>110</v>
      </c>
      <c r="G47" s="175">
        <v>64</v>
      </c>
      <c r="H47" s="175">
        <v>96</v>
      </c>
      <c r="I47" s="175">
        <v>108</v>
      </c>
      <c r="J47" s="225">
        <v>1020</v>
      </c>
      <c r="K47" s="175">
        <v>1970</v>
      </c>
      <c r="L47" s="175">
        <v>1603</v>
      </c>
      <c r="M47" s="175">
        <v>343</v>
      </c>
      <c r="N47" s="225">
        <v>870</v>
      </c>
      <c r="O47" s="577"/>
    </row>
    <row r="48" spans="2:16" s="5" customFormat="1" ht="22.5">
      <c r="B48" s="2" t="str">
        <f>names!A1361</f>
        <v>Zobowiązania bezpośrednio związane z aktywami zaklasyfikowanymi jako przeznaczone do sprzedaży</v>
      </c>
      <c r="C48" s="175">
        <v>0</v>
      </c>
      <c r="D48" s="175">
        <v>1</v>
      </c>
      <c r="E48" s="175">
        <v>1</v>
      </c>
      <c r="F48" s="225">
        <v>1</v>
      </c>
      <c r="G48" s="175">
        <v>4</v>
      </c>
      <c r="H48" s="175">
        <v>0</v>
      </c>
      <c r="I48" s="175">
        <v>0</v>
      </c>
      <c r="J48" s="225">
        <v>0</v>
      </c>
      <c r="K48" s="175">
        <v>0</v>
      </c>
      <c r="L48" s="175">
        <v>0</v>
      </c>
      <c r="M48" s="175">
        <v>0</v>
      </c>
      <c r="N48" s="225">
        <v>72</v>
      </c>
      <c r="O48" s="577"/>
    </row>
    <row r="49" spans="2:15" s="5" customFormat="1" ht="11.25">
      <c r="B49" s="71" t="str">
        <f>names!A1362</f>
        <v>Zobowiązania krótkoterminowe</v>
      </c>
      <c r="C49" s="171">
        <v>16763</v>
      </c>
      <c r="D49" s="171">
        <v>18077</v>
      </c>
      <c r="E49" s="171">
        <v>17564</v>
      </c>
      <c r="F49" s="220">
        <v>15955</v>
      </c>
      <c r="G49" s="171">
        <v>16292</v>
      </c>
      <c r="H49" s="171">
        <v>16678</v>
      </c>
      <c r="I49" s="171">
        <v>16329</v>
      </c>
      <c r="J49" s="220">
        <v>14034</v>
      </c>
      <c r="K49" s="171">
        <v>14801</v>
      </c>
      <c r="L49" s="171">
        <v>16707</v>
      </c>
      <c r="M49" s="171">
        <v>13684</v>
      </c>
      <c r="N49" s="220">
        <v>13666</v>
      </c>
      <c r="O49" s="577"/>
    </row>
    <row r="50" spans="2:15" s="5" customFormat="1" ht="12" thickBot="1">
      <c r="B50" s="88" t="str">
        <f>names!A1363</f>
        <v>Zobowiązania razem</v>
      </c>
      <c r="C50" s="176">
        <v>24767</v>
      </c>
      <c r="D50" s="176">
        <v>26370</v>
      </c>
      <c r="E50" s="176">
        <v>24892</v>
      </c>
      <c r="F50" s="226">
        <v>23801</v>
      </c>
      <c r="G50" s="176">
        <v>25394</v>
      </c>
      <c r="H50" s="176">
        <v>28412</v>
      </c>
      <c r="I50" s="176">
        <v>28241</v>
      </c>
      <c r="J50" s="226">
        <v>26339</v>
      </c>
      <c r="K50" s="176">
        <v>25181</v>
      </c>
      <c r="L50" s="176">
        <v>26618</v>
      </c>
      <c r="M50" s="176">
        <v>25765</v>
      </c>
      <c r="N50" s="226">
        <v>23893</v>
      </c>
      <c r="O50" s="577"/>
    </row>
    <row r="51" spans="2:15" s="5" customFormat="1" thickBot="1">
      <c r="B51" s="85" t="str">
        <f>names!A1364</f>
        <v>Pasywa razem</v>
      </c>
      <c r="C51" s="166">
        <v>53330</v>
      </c>
      <c r="D51" s="166">
        <v>54131</v>
      </c>
      <c r="E51" s="166">
        <v>53256</v>
      </c>
      <c r="F51" s="222">
        <v>51352</v>
      </c>
      <c r="G51" s="166">
        <v>53006</v>
      </c>
      <c r="H51" s="166">
        <v>50607</v>
      </c>
      <c r="I51" s="166">
        <v>50984</v>
      </c>
      <c r="J51" s="222">
        <v>46725</v>
      </c>
      <c r="K51" s="166">
        <v>46535</v>
      </c>
      <c r="L51" s="166">
        <v>49025</v>
      </c>
      <c r="M51" s="166">
        <v>49866</v>
      </c>
      <c r="N51" s="222">
        <v>48137</v>
      </c>
      <c r="O51" s="577"/>
    </row>
    <row r="52" spans="2:15" s="5" customFormat="1" ht="23.25" customHeight="1">
      <c r="B52" s="1011" t="str">
        <f>names!A1365</f>
        <v>*) Dane przekształcone – zmiana metody konsolidacji spółek Basell ORLEN Polyolefines Sp. z o.o. i Płocki Park Przemysłowo-Technologiczny S.A. zgodnie z MSSF 11.</v>
      </c>
      <c r="C52" s="1012"/>
      <c r="D52" s="1012"/>
      <c r="E52" s="1012"/>
      <c r="F52" s="1012"/>
      <c r="G52" s="1012"/>
      <c r="H52" s="1012"/>
      <c r="I52" s="1012"/>
      <c r="J52" s="1012"/>
      <c r="K52" s="1012"/>
      <c r="L52" s="1012"/>
      <c r="M52" s="1012"/>
      <c r="N52" s="1012"/>
      <c r="O52" s="577"/>
    </row>
    <row r="54" spans="2:15">
      <c r="B54" s="577"/>
      <c r="C54" s="577"/>
      <c r="D54" s="577"/>
      <c r="E54" s="577"/>
      <c r="F54" s="577"/>
      <c r="G54" s="577"/>
      <c r="H54" s="577"/>
      <c r="I54" s="577"/>
      <c r="J54" s="577"/>
      <c r="K54" s="577"/>
      <c r="L54" s="577"/>
      <c r="M54" s="577"/>
      <c r="N54" s="577"/>
    </row>
    <row r="55" spans="2:15" ht="12.75" customHeight="1">
      <c r="B55" s="43"/>
      <c r="C55" s="36"/>
      <c r="D55" s="36"/>
      <c r="E55" s="36"/>
      <c r="F55" s="36"/>
      <c r="G55" s="36"/>
      <c r="H55" s="36"/>
      <c r="I55" s="36"/>
      <c r="J55" s="36"/>
      <c r="K55" s="36"/>
      <c r="L55" s="36"/>
      <c r="M55" s="36"/>
      <c r="N55" s="36"/>
    </row>
    <row r="56" spans="2:15" ht="12.75" customHeight="1">
      <c r="B56" s="4"/>
      <c r="C56" s="36"/>
      <c r="D56" s="36"/>
      <c r="E56" s="36"/>
      <c r="F56" s="36"/>
      <c r="G56" s="36"/>
      <c r="H56" s="36"/>
      <c r="I56" s="36"/>
      <c r="J56" s="36"/>
      <c r="K56" s="36"/>
      <c r="L56" s="36"/>
      <c r="M56" s="36"/>
      <c r="N56" s="36"/>
    </row>
    <row r="57" spans="2:15" ht="12.75" customHeight="1">
      <c r="B57" s="43"/>
      <c r="C57" s="32"/>
      <c r="D57" s="32"/>
      <c r="E57" s="32"/>
      <c r="F57" s="32"/>
      <c r="G57" s="32"/>
      <c r="H57" s="32"/>
      <c r="I57" s="32"/>
      <c r="J57" s="32"/>
      <c r="K57" s="32"/>
      <c r="L57" s="32"/>
      <c r="M57" s="32"/>
      <c r="N57" s="32"/>
    </row>
    <row r="58" spans="2:15" ht="12.75" customHeight="1">
      <c r="C58" s="35"/>
      <c r="D58" s="35"/>
      <c r="E58" s="35"/>
      <c r="F58" s="35"/>
      <c r="G58" s="35"/>
      <c r="H58" s="35"/>
      <c r="I58" s="35"/>
      <c r="J58" s="35"/>
      <c r="K58" s="35"/>
      <c r="L58" s="35"/>
      <c r="M58" s="35"/>
      <c r="N58" s="35"/>
    </row>
    <row r="59" spans="2:15" ht="12.75" customHeight="1"/>
    <row r="60" spans="2:15" ht="25.5" customHeight="1"/>
    <row r="61" spans="2:15" ht="12.75" customHeight="1"/>
    <row r="62" spans="2:15" ht="12.75" customHeight="1"/>
    <row r="63" spans="2:15" ht="12.75" customHeight="1"/>
    <row r="64" spans="2:1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182" ht="12.75" customHeight="1"/>
    <row r="1183" ht="22.5" customHeight="1"/>
  </sheetData>
  <mergeCells count="1">
    <mergeCell ref="B52:N52"/>
  </mergeCells>
  <conditionalFormatting sqref="B54:N54">
    <cfRule type="cellIs" dxfId="36" priority="2" operator="equal">
      <formula>FALSE</formula>
    </cfRule>
  </conditionalFormatting>
  <conditionalFormatting sqref="O2:O52">
    <cfRule type="cellIs" dxfId="35" priority="1" operator="equal">
      <formula>FALSE</formula>
    </cfRule>
  </conditionalFormatting>
  <printOptions horizontalCentered="1"/>
  <pageMargins left="0.74803149606299213" right="0.74803149606299213" top="0.98425196850393704" bottom="0.98425196850393704" header="0.51181102362204722" footer="0.51181102362204722"/>
  <pageSetup paperSize="9" scale="71"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0.34998626667073579"/>
    <pageSetUpPr fitToPage="1"/>
  </sheetPr>
  <dimension ref="A2:HF1178"/>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cols>
    <col min="1" max="1" width="1.28515625" customWidth="1"/>
    <col min="2" max="2" width="55" style="1" customWidth="1"/>
    <col min="3" max="3" width="9.28515625" style="5" customWidth="1" collapsed="1"/>
    <col min="4" max="4" width="9.28515625" style="5" customWidth="1"/>
    <col min="5" max="7" width="9.28515625" style="5" customWidth="1" collapsed="1"/>
  </cols>
  <sheetData>
    <row r="2" spans="1:214" ht="15.75">
      <c r="B2" s="399" t="str">
        <f>names!A1367</f>
        <v>Skonsolidowane sprawozdanie z sytuacji finansowej</v>
      </c>
      <c r="H2" s="577"/>
    </row>
    <row r="3" spans="1:214" ht="10.15" customHeight="1">
      <c r="H3" s="577"/>
    </row>
    <row r="4" spans="1:214" s="61" customFormat="1" ht="25.5" customHeight="1">
      <c r="A4" s="60"/>
      <c r="B4" s="96" t="str">
        <f>names!A1369</f>
        <v>Wyszczególnienie, 
mln PLN</v>
      </c>
      <c r="C4" s="96" t="s">
        <v>204</v>
      </c>
      <c r="D4" s="96" t="s">
        <v>280</v>
      </c>
      <c r="E4" s="96" t="s">
        <v>281</v>
      </c>
      <c r="F4" s="96" t="s">
        <v>282</v>
      </c>
      <c r="G4" s="96" t="s">
        <v>283</v>
      </c>
      <c r="H4" s="577"/>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row>
    <row r="5" spans="1:214" s="29" customFormat="1" ht="7.15" customHeight="1">
      <c r="B5" s="87"/>
      <c r="C5" s="86"/>
      <c r="D5" s="86"/>
      <c r="E5" s="86"/>
      <c r="F5" s="86"/>
      <c r="G5" s="86"/>
      <c r="H5" s="577"/>
    </row>
    <row r="6" spans="1:214" s="5" customFormat="1" ht="9" customHeight="1">
      <c r="B6" s="68" t="str">
        <f>names!A1371</f>
        <v>AKTYWA</v>
      </c>
      <c r="C6" s="218"/>
      <c r="D6" s="67"/>
      <c r="E6" s="67"/>
      <c r="F6" s="67"/>
      <c r="G6" s="218"/>
      <c r="H6" s="577"/>
    </row>
    <row r="7" spans="1:214" s="5" customFormat="1" ht="11.25">
      <c r="B7" s="2" t="str">
        <f>names!A1372</f>
        <v>Rzeczowe aktywa trwałe</v>
      </c>
      <c r="C7" s="219">
        <v>24536</v>
      </c>
      <c r="D7" s="170">
        <v>25037</v>
      </c>
      <c r="E7" s="170">
        <v>26136</v>
      </c>
      <c r="F7" s="170">
        <v>26520</v>
      </c>
      <c r="G7" s="219">
        <v>27671</v>
      </c>
      <c r="H7" s="577"/>
    </row>
    <row r="8" spans="1:214" s="5" customFormat="1" ht="11.25">
      <c r="B8" s="2" t="str">
        <f>names!A1373</f>
        <v>Wartości niematerialne</v>
      </c>
      <c r="C8" s="219">
        <v>1298</v>
      </c>
      <c r="D8" s="170">
        <v>1521</v>
      </c>
      <c r="E8" s="170">
        <v>1176</v>
      </c>
      <c r="F8" s="170">
        <v>1176</v>
      </c>
      <c r="G8" s="219">
        <v>1377</v>
      </c>
      <c r="H8" s="577"/>
    </row>
    <row r="9" spans="1:214" s="5" customFormat="1" ht="11.25">
      <c r="B9" s="2" t="str">
        <f>names!A1374</f>
        <v>Inwestycje wyceniane metodą praw własności</v>
      </c>
      <c r="C9" s="219">
        <v>774</v>
      </c>
      <c r="D9" s="170">
        <v>859</v>
      </c>
      <c r="E9" s="170">
        <v>780</v>
      </c>
      <c r="F9" s="170">
        <v>846</v>
      </c>
      <c r="G9" s="219">
        <v>763</v>
      </c>
      <c r="H9" s="577"/>
    </row>
    <row r="10" spans="1:214" s="5" customFormat="1" ht="11.25">
      <c r="B10" s="2" t="str">
        <f>names!A1375</f>
        <v>Aktywa z tytułu podatku odroczonego</v>
      </c>
      <c r="C10" s="219">
        <v>365</v>
      </c>
      <c r="D10" s="170">
        <v>338</v>
      </c>
      <c r="E10" s="170">
        <v>376</v>
      </c>
      <c r="F10" s="170">
        <v>311</v>
      </c>
      <c r="G10" s="219">
        <v>167</v>
      </c>
      <c r="H10" s="577"/>
    </row>
    <row r="11" spans="1:214" s="5" customFormat="1" ht="11.25">
      <c r="B11" s="2" t="str">
        <f>names!A1376</f>
        <v>Pozostałe aktywa finansowe</v>
      </c>
      <c r="C11" s="219">
        <v>147</v>
      </c>
      <c r="D11" s="170">
        <v>111</v>
      </c>
      <c r="E11" s="170">
        <v>59</v>
      </c>
      <c r="F11" s="170">
        <v>85</v>
      </c>
      <c r="G11" s="219">
        <v>99</v>
      </c>
      <c r="H11" s="577"/>
    </row>
    <row r="12" spans="1:214" s="5" customFormat="1" ht="11.25">
      <c r="B12" s="2" t="str">
        <f>names!A1377</f>
        <v>Pozostałe aktywa</v>
      </c>
      <c r="C12" s="219">
        <v>242</v>
      </c>
      <c r="D12" s="170">
        <v>247</v>
      </c>
      <c r="E12" s="170">
        <v>253</v>
      </c>
      <c r="F12" s="170">
        <v>251</v>
      </c>
      <c r="G12" s="219">
        <v>244</v>
      </c>
      <c r="H12" s="577"/>
    </row>
    <row r="13" spans="1:214" s="5" customFormat="1" ht="11.25">
      <c r="B13" s="71" t="str">
        <f>names!A1378</f>
        <v>Aktywa trwałe</v>
      </c>
      <c r="C13" s="220">
        <v>27362</v>
      </c>
      <c r="D13" s="171">
        <v>28113</v>
      </c>
      <c r="E13" s="171">
        <v>28780</v>
      </c>
      <c r="F13" s="171">
        <v>29189</v>
      </c>
      <c r="G13" s="220">
        <v>30321</v>
      </c>
      <c r="H13" s="577"/>
    </row>
    <row r="14" spans="1:214" s="5" customFormat="1" ht="11.25">
      <c r="B14" s="2" t="str">
        <f>names!A1379</f>
        <v>Zapasy</v>
      </c>
      <c r="C14" s="219">
        <v>10715</v>
      </c>
      <c r="D14" s="170">
        <v>9236</v>
      </c>
      <c r="E14" s="170">
        <v>10646</v>
      </c>
      <c r="F14" s="170">
        <v>10388</v>
      </c>
      <c r="G14" s="219">
        <v>11182</v>
      </c>
      <c r="H14" s="577"/>
    </row>
    <row r="15" spans="1:214" s="5" customFormat="1" ht="11.25">
      <c r="B15" s="2" t="str">
        <f>names!A1380</f>
        <v>Należności z tytułu dostaw i usług oraz pozostałe należności</v>
      </c>
      <c r="C15" s="219">
        <v>6641</v>
      </c>
      <c r="D15" s="170">
        <v>6604</v>
      </c>
      <c r="E15" s="170">
        <v>7857</v>
      </c>
      <c r="F15" s="170">
        <v>7770</v>
      </c>
      <c r="G15" s="219">
        <v>8674</v>
      </c>
      <c r="H15" s="577"/>
    </row>
    <row r="16" spans="1:214" s="5" customFormat="1" ht="11.25">
      <c r="B16" s="2" t="str">
        <f>names!A1381</f>
        <v>Pozostałe aktywa finansowe</v>
      </c>
      <c r="C16" s="219">
        <v>974</v>
      </c>
      <c r="D16" s="170">
        <v>742</v>
      </c>
      <c r="E16" s="170">
        <v>422</v>
      </c>
      <c r="F16" s="170">
        <v>372</v>
      </c>
      <c r="G16" s="219">
        <v>249</v>
      </c>
      <c r="H16" s="577"/>
    </row>
    <row r="17" spans="2:8" s="5" customFormat="1" ht="11.25">
      <c r="B17" s="2" t="str">
        <f>names!A1382</f>
        <v>Środki pieniężne i ich ekwiwalenty</v>
      </c>
      <c r="C17" s="219">
        <v>2348</v>
      </c>
      <c r="D17" s="170">
        <v>3467</v>
      </c>
      <c r="E17" s="170">
        <v>4094</v>
      </c>
      <c r="F17" s="170">
        <v>3858</v>
      </c>
      <c r="G17" s="219">
        <v>5072</v>
      </c>
      <c r="H17" s="577"/>
    </row>
    <row r="18" spans="2:8" s="5" customFormat="1" ht="11.25">
      <c r="B18" s="2" t="str">
        <f>names!A1383</f>
        <v>Aktywa trwałe przeznaczone do sprzedaży</v>
      </c>
      <c r="C18" s="219">
        <v>97</v>
      </c>
      <c r="D18" s="170">
        <v>55</v>
      </c>
      <c r="E18" s="170">
        <v>10</v>
      </c>
      <c r="F18" s="170">
        <v>27</v>
      </c>
      <c r="G18" s="219">
        <v>61</v>
      </c>
      <c r="H18" s="577"/>
    </row>
    <row r="19" spans="2:8" s="5" customFormat="1" ht="12" thickBot="1">
      <c r="B19" s="90" t="str">
        <f>names!A1384</f>
        <v>Aktywa obrotowe</v>
      </c>
      <c r="C19" s="221">
        <v>20775</v>
      </c>
      <c r="D19" s="172">
        <v>20104</v>
      </c>
      <c r="E19" s="172">
        <v>23029</v>
      </c>
      <c r="F19" s="172">
        <v>22415</v>
      </c>
      <c r="G19" s="221">
        <v>25238</v>
      </c>
      <c r="H19" s="577"/>
    </row>
    <row r="20" spans="2:8" s="5" customFormat="1" thickBot="1">
      <c r="B20" s="84" t="str">
        <f>names!A1385</f>
        <v>Aktywa razem</v>
      </c>
      <c r="C20" s="222">
        <v>48137</v>
      </c>
      <c r="D20" s="166">
        <v>48217</v>
      </c>
      <c r="E20" s="166">
        <v>51809</v>
      </c>
      <c r="F20" s="166">
        <v>51604</v>
      </c>
      <c r="G20" s="222">
        <v>55559</v>
      </c>
      <c r="H20" s="577"/>
    </row>
    <row r="21" spans="2:8" s="5" customFormat="1" ht="11.25">
      <c r="B21" s="68" t="str">
        <f>names!A1386</f>
        <v>PASYWA</v>
      </c>
      <c r="C21" s="223"/>
      <c r="D21" s="173"/>
      <c r="E21" s="173"/>
      <c r="F21" s="173"/>
      <c r="G21" s="223"/>
      <c r="H21" s="577"/>
    </row>
    <row r="22" spans="2:8" s="5" customFormat="1" ht="11.25">
      <c r="B22" s="68" t="str">
        <f>names!A1387</f>
        <v>KAPITAŁ WŁASNY</v>
      </c>
      <c r="C22" s="223"/>
      <c r="D22" s="173"/>
      <c r="E22" s="173"/>
      <c r="F22" s="173"/>
      <c r="G22" s="223"/>
      <c r="H22" s="577"/>
    </row>
    <row r="23" spans="2:8" s="5" customFormat="1" ht="11.25">
      <c r="B23" s="2" t="str">
        <f>names!A1388</f>
        <v>Kapitał podstawowy</v>
      </c>
      <c r="C23" s="219">
        <v>1058</v>
      </c>
      <c r="D23" s="170">
        <v>1058</v>
      </c>
      <c r="E23" s="170">
        <v>1058</v>
      </c>
      <c r="F23" s="170">
        <v>1058</v>
      </c>
      <c r="G23" s="219">
        <v>1058</v>
      </c>
      <c r="H23" s="577"/>
    </row>
    <row r="24" spans="2:8" s="5" customFormat="1" ht="11.25">
      <c r="B24" s="2" t="str">
        <f>names!A1389</f>
        <v>Kapitał z emisji akcji powyżej ich wartości nominalnej</v>
      </c>
      <c r="C24" s="219">
        <v>1227</v>
      </c>
      <c r="D24" s="170">
        <v>1227</v>
      </c>
      <c r="E24" s="170">
        <v>1227</v>
      </c>
      <c r="F24" s="170">
        <v>1227</v>
      </c>
      <c r="G24" s="219">
        <v>1227</v>
      </c>
      <c r="H24" s="577"/>
    </row>
    <row r="25" spans="2:8" s="5" customFormat="1" ht="11.25">
      <c r="B25" s="2" t="str">
        <f>names!A1390</f>
        <v xml:space="preserve">Kapitał z tytułu stosowania rachunkowości zabezpieczeń </v>
      </c>
      <c r="C25" s="219">
        <v>-80</v>
      </c>
      <c r="D25" s="170">
        <v>-145</v>
      </c>
      <c r="E25" s="170">
        <v>-330</v>
      </c>
      <c r="F25" s="170">
        <v>-103</v>
      </c>
      <c r="G25" s="219">
        <v>-355</v>
      </c>
      <c r="H25" s="577"/>
    </row>
    <row r="26" spans="2:8" s="5" customFormat="1" ht="11.25">
      <c r="B26" s="2" t="str">
        <f>names!A1391</f>
        <v>Kapitał z aktualizacji wyceny</v>
      </c>
      <c r="C26" s="219">
        <v>0</v>
      </c>
      <c r="D26" s="170">
        <v>0</v>
      </c>
      <c r="E26" s="170">
        <v>0</v>
      </c>
      <c r="F26" s="170">
        <v>0</v>
      </c>
      <c r="G26" s="219">
        <v>5</v>
      </c>
      <c r="H26" s="577"/>
    </row>
    <row r="27" spans="2:8" s="5" customFormat="1" ht="11.25">
      <c r="B27" s="2" t="str">
        <f>names!A1392</f>
        <v>Różnice kursowe z przeliczenia jednostek podporządkowanych</v>
      </c>
      <c r="C27" s="219">
        <v>537</v>
      </c>
      <c r="D27" s="170">
        <v>519</v>
      </c>
      <c r="E27" s="170">
        <v>877</v>
      </c>
      <c r="F27" s="170">
        <v>631</v>
      </c>
      <c r="G27" s="219">
        <v>946</v>
      </c>
      <c r="H27" s="577"/>
    </row>
    <row r="28" spans="2:8" s="5" customFormat="1" ht="11.25">
      <c r="B28" s="2" t="str">
        <f>names!A1393</f>
        <v>Zyski zatrzymane</v>
      </c>
      <c r="C28" s="219">
        <v>19431</v>
      </c>
      <c r="D28" s="170">
        <v>19768</v>
      </c>
      <c r="E28" s="170">
        <v>20520</v>
      </c>
      <c r="F28" s="170">
        <v>22047</v>
      </c>
      <c r="G28" s="219">
        <v>23882</v>
      </c>
      <c r="H28" s="577"/>
    </row>
    <row r="29" spans="2:8" s="5" customFormat="1" ht="11.25">
      <c r="B29" s="393" t="str">
        <f>names!A1394</f>
        <v>Kapitał własny przypadający na akcjonariuszy jednostki dominującej</v>
      </c>
      <c r="C29" s="220">
        <v>22173</v>
      </c>
      <c r="D29" s="171">
        <v>22427</v>
      </c>
      <c r="E29" s="171">
        <v>23352</v>
      </c>
      <c r="F29" s="171">
        <v>24860</v>
      </c>
      <c r="G29" s="220">
        <v>26763</v>
      </c>
      <c r="H29" s="577"/>
    </row>
    <row r="30" spans="2:8" s="5" customFormat="1" ht="11.25">
      <c r="B30" s="71" t="str">
        <f>names!A1395</f>
        <v>Kapitał własny przypadający udziałom niekontrolującym</v>
      </c>
      <c r="C30" s="224">
        <v>2071</v>
      </c>
      <c r="D30" s="174">
        <v>2033</v>
      </c>
      <c r="E30" s="174">
        <v>2240</v>
      </c>
      <c r="F30" s="174">
        <v>2221</v>
      </c>
      <c r="G30" s="224">
        <v>2522</v>
      </c>
      <c r="H30" s="577"/>
    </row>
    <row r="31" spans="2:8" s="5" customFormat="1" ht="11.25">
      <c r="B31" s="71" t="str">
        <f>names!A1396</f>
        <v>Kapitał własny razem</v>
      </c>
      <c r="C31" s="220">
        <v>24244</v>
      </c>
      <c r="D31" s="171">
        <v>24460</v>
      </c>
      <c r="E31" s="171">
        <v>25592</v>
      </c>
      <c r="F31" s="171">
        <v>27081</v>
      </c>
      <c r="G31" s="220">
        <v>29285</v>
      </c>
      <c r="H31" s="577"/>
    </row>
    <row r="32" spans="2:8" s="5" customFormat="1" ht="11.25">
      <c r="B32" s="103" t="str">
        <f>names!A1397</f>
        <v>ZOBOWIĄZANIA</v>
      </c>
      <c r="C32" s="221"/>
      <c r="D32" s="172"/>
      <c r="E32" s="172"/>
      <c r="F32" s="172"/>
      <c r="G32" s="221"/>
      <c r="H32" s="577"/>
    </row>
    <row r="33" spans="2:8" s="5" customFormat="1" ht="11.25">
      <c r="B33" s="2" t="str">
        <f>names!A1398</f>
        <v>Kredyty, pożyczki i obligacje</v>
      </c>
      <c r="C33" s="225">
        <v>8131</v>
      </c>
      <c r="D33" s="175">
        <v>7893</v>
      </c>
      <c r="E33" s="175">
        <v>7892</v>
      </c>
      <c r="F33" s="175">
        <v>7624</v>
      </c>
      <c r="G33" s="225">
        <v>7446</v>
      </c>
      <c r="H33" s="577"/>
    </row>
    <row r="34" spans="2:8" s="5" customFormat="1" ht="11.25">
      <c r="B34" s="2" t="str">
        <f>names!A1399</f>
        <v xml:space="preserve">Rezerwy </v>
      </c>
      <c r="C34" s="225">
        <v>710</v>
      </c>
      <c r="D34" s="175">
        <v>730</v>
      </c>
      <c r="E34" s="175">
        <v>759</v>
      </c>
      <c r="F34" s="175">
        <v>767</v>
      </c>
      <c r="G34" s="225">
        <v>828</v>
      </c>
      <c r="H34" s="577"/>
    </row>
    <row r="35" spans="2:8" s="5" customFormat="1" ht="11.25">
      <c r="B35" s="2" t="str">
        <f>names!A1400</f>
        <v>Zobowiązania z tytułu podatku odroczonego</v>
      </c>
      <c r="C35" s="225">
        <v>674</v>
      </c>
      <c r="D35" s="175">
        <v>664</v>
      </c>
      <c r="E35" s="175">
        <v>853</v>
      </c>
      <c r="F35" s="175">
        <v>928</v>
      </c>
      <c r="G35" s="225">
        <v>809</v>
      </c>
      <c r="H35" s="577"/>
    </row>
    <row r="36" spans="2:8" s="5" customFormat="1" ht="11.25">
      <c r="B36" s="2" t="str">
        <f>names!A1401</f>
        <v>Pozostałe zobowiązania finansowe</v>
      </c>
      <c r="C36" s="225">
        <v>712</v>
      </c>
      <c r="D36" s="175">
        <v>567</v>
      </c>
      <c r="E36" s="175">
        <v>684</v>
      </c>
      <c r="F36" s="175">
        <v>543</v>
      </c>
      <c r="G36" s="225">
        <v>569</v>
      </c>
      <c r="H36" s="577"/>
    </row>
    <row r="37" spans="2:8" s="5" customFormat="1" ht="11.25">
      <c r="B37" s="71" t="str">
        <f>names!A1402</f>
        <v>Zobowiązania długoterminowe</v>
      </c>
      <c r="C37" s="220">
        <v>10227</v>
      </c>
      <c r="D37" s="171">
        <v>9854</v>
      </c>
      <c r="E37" s="171">
        <v>10188</v>
      </c>
      <c r="F37" s="171">
        <v>9862</v>
      </c>
      <c r="G37" s="220">
        <v>9652</v>
      </c>
      <c r="H37" s="577"/>
    </row>
    <row r="38" spans="2:8" s="5" customFormat="1" ht="11.25">
      <c r="B38" s="3" t="str">
        <f>names!A1403</f>
        <v>Zobowiązania z tytułu dostaw i usług oraz pozostałe zobowiązania</v>
      </c>
      <c r="C38" s="225">
        <v>10820</v>
      </c>
      <c r="D38" s="175">
        <v>11041</v>
      </c>
      <c r="E38" s="175">
        <v>13552</v>
      </c>
      <c r="F38" s="175">
        <v>12444</v>
      </c>
      <c r="G38" s="225">
        <v>14250</v>
      </c>
      <c r="H38" s="577"/>
    </row>
    <row r="39" spans="2:8" s="5" customFormat="1" ht="11.25">
      <c r="B39" s="2" t="str">
        <f>names!A1404</f>
        <v>Kredyty i pożyczki</v>
      </c>
      <c r="C39" s="225">
        <v>1027</v>
      </c>
      <c r="D39" s="175">
        <v>1041</v>
      </c>
      <c r="E39" s="175">
        <v>1273</v>
      </c>
      <c r="F39" s="175">
        <v>1187</v>
      </c>
      <c r="G39" s="225">
        <v>989</v>
      </c>
      <c r="H39" s="577"/>
    </row>
    <row r="40" spans="2:8" s="5" customFormat="1" ht="11.25">
      <c r="B40" s="2" t="str">
        <f>names!A1405</f>
        <v>Rezerwy</v>
      </c>
      <c r="C40" s="225">
        <v>749</v>
      </c>
      <c r="D40" s="175">
        <v>767</v>
      </c>
      <c r="E40" s="175">
        <v>406</v>
      </c>
      <c r="F40" s="175">
        <v>465</v>
      </c>
      <c r="G40" s="225">
        <v>666</v>
      </c>
      <c r="H40" s="577"/>
    </row>
    <row r="41" spans="2:8" s="5" customFormat="1" ht="11.25">
      <c r="B41" s="2" t="str">
        <f>names!A1406</f>
        <v>Przychody przyszłych okresów</v>
      </c>
      <c r="C41" s="225">
        <v>128</v>
      </c>
      <c r="D41" s="175">
        <v>271</v>
      </c>
      <c r="E41" s="175">
        <v>233</v>
      </c>
      <c r="F41" s="175">
        <v>193</v>
      </c>
      <c r="G41" s="225">
        <v>145</v>
      </c>
      <c r="H41" s="577"/>
    </row>
    <row r="42" spans="2:8" s="5" customFormat="1" ht="11.25">
      <c r="B42" s="2" t="str">
        <f>names!A1407</f>
        <v>Pozostałe zobowiązania finansowe</v>
      </c>
      <c r="C42" s="225">
        <v>870</v>
      </c>
      <c r="D42" s="175">
        <v>748</v>
      </c>
      <c r="E42" s="175">
        <v>565</v>
      </c>
      <c r="F42" s="175">
        <v>372</v>
      </c>
      <c r="G42" s="225">
        <v>572</v>
      </c>
      <c r="H42" s="577"/>
    </row>
    <row r="43" spans="2:8" s="5" customFormat="1" ht="22.5">
      <c r="B43" s="2" t="str">
        <f>names!A1408</f>
        <v>Zobowiązania bezpośrednio związane z aktywami zaklasyfikowanymi jako przeznaczone do sprzedaży</v>
      </c>
      <c r="C43" s="225">
        <v>72</v>
      </c>
      <c r="D43" s="175">
        <v>35</v>
      </c>
      <c r="E43" s="175">
        <v>0</v>
      </c>
      <c r="F43" s="175">
        <v>0</v>
      </c>
      <c r="G43" s="225">
        <v>0</v>
      </c>
      <c r="H43" s="577"/>
    </row>
    <row r="44" spans="2:8" s="5" customFormat="1" ht="11.25">
      <c r="B44" s="71" t="str">
        <f>names!A1409</f>
        <v>Zobowiązania krótkoterminowe</v>
      </c>
      <c r="C44" s="220">
        <v>13666</v>
      </c>
      <c r="D44" s="171">
        <v>13903</v>
      </c>
      <c r="E44" s="171">
        <v>16029</v>
      </c>
      <c r="F44" s="171">
        <v>14661</v>
      </c>
      <c r="G44" s="220">
        <v>16622</v>
      </c>
      <c r="H44" s="577"/>
    </row>
    <row r="45" spans="2:8" s="5" customFormat="1" ht="12" thickBot="1">
      <c r="B45" s="88" t="str">
        <f>names!A1410</f>
        <v>Zobowiązania razem</v>
      </c>
      <c r="C45" s="226">
        <v>23893</v>
      </c>
      <c r="D45" s="176">
        <v>23757</v>
      </c>
      <c r="E45" s="176">
        <v>26217</v>
      </c>
      <c r="F45" s="176">
        <v>24523</v>
      </c>
      <c r="G45" s="226">
        <v>26274</v>
      </c>
      <c r="H45" s="577"/>
    </row>
    <row r="46" spans="2:8" s="5" customFormat="1" thickBot="1">
      <c r="B46" s="85" t="str">
        <f>names!A1411</f>
        <v>Pasywa razem</v>
      </c>
      <c r="C46" s="222">
        <v>48137</v>
      </c>
      <c r="D46" s="166">
        <v>48217</v>
      </c>
      <c r="E46" s="166">
        <v>51809</v>
      </c>
      <c r="F46" s="166">
        <v>51604</v>
      </c>
      <c r="G46" s="222">
        <v>55559</v>
      </c>
      <c r="H46" s="577"/>
    </row>
    <row r="47" spans="2:8" s="5" customFormat="1" ht="6.75" customHeight="1">
      <c r="B47" s="1"/>
      <c r="C47" s="434"/>
      <c r="D47" s="434"/>
      <c r="E47" s="434"/>
      <c r="H47" s="577"/>
    </row>
    <row r="49" spans="2:7">
      <c r="B49" s="577"/>
      <c r="C49" s="577"/>
      <c r="D49" s="577"/>
      <c r="E49" s="577"/>
      <c r="F49" s="577"/>
      <c r="G49" s="577"/>
    </row>
    <row r="50" spans="2:7" ht="12.75" customHeight="1">
      <c r="B50" s="43"/>
      <c r="C50" s="36"/>
      <c r="D50" s="36"/>
      <c r="E50" s="36"/>
      <c r="F50" s="36"/>
      <c r="G50" s="36"/>
    </row>
    <row r="51" spans="2:7" ht="12.75" customHeight="1">
      <c r="B51" s="4"/>
      <c r="C51" s="36"/>
      <c r="D51" s="36"/>
      <c r="E51" s="36"/>
      <c r="F51" s="36"/>
      <c r="G51" s="36"/>
    </row>
    <row r="52" spans="2:7" ht="12.75" customHeight="1">
      <c r="B52" s="43"/>
      <c r="C52" s="32"/>
      <c r="D52" s="32"/>
      <c r="E52" s="32"/>
      <c r="F52" s="32"/>
      <c r="G52" s="32"/>
    </row>
    <row r="53" spans="2:7" ht="12.75" customHeight="1">
      <c r="C53" s="35"/>
      <c r="D53" s="35"/>
      <c r="E53" s="35"/>
      <c r="F53" s="35"/>
      <c r="G53" s="35"/>
    </row>
    <row r="54" spans="2:7" ht="12.75" customHeight="1"/>
    <row r="55" spans="2:7" ht="25.5" customHeight="1"/>
    <row r="56" spans="2:7" ht="12.75" customHeight="1"/>
    <row r="57" spans="2:7" ht="12.75" customHeight="1"/>
    <row r="58" spans="2:7" ht="12.75" customHeight="1"/>
    <row r="59" spans="2:7" ht="12.75" customHeight="1"/>
    <row r="60" spans="2:7" ht="12.75" customHeight="1"/>
    <row r="61" spans="2:7" ht="12.75" customHeight="1"/>
    <row r="62" spans="2:7" ht="12.75" customHeight="1"/>
    <row r="63" spans="2:7" ht="12.75" customHeight="1"/>
    <row r="64" spans="2:7" ht="12.75" customHeight="1"/>
    <row r="65" ht="12.75" customHeight="1"/>
    <row r="66" ht="12.75" customHeight="1"/>
    <row r="67" ht="12.75" customHeight="1"/>
    <row r="68" ht="12.75" customHeight="1"/>
    <row r="69" ht="12.75" customHeight="1"/>
    <row r="70" ht="12.75" customHeight="1"/>
    <row r="71" ht="12.75" customHeight="1"/>
    <row r="72" ht="12.75" customHeight="1"/>
    <row r="177" ht="12.75" customHeight="1"/>
    <row r="1178" ht="22.5" customHeight="1"/>
  </sheetData>
  <conditionalFormatting sqref="B49:G49">
    <cfRule type="cellIs" dxfId="34" priority="2" operator="equal">
      <formula>FALSE</formula>
    </cfRule>
  </conditionalFormatting>
  <conditionalFormatting sqref="H2:H47">
    <cfRule type="cellIs" dxfId="33" priority="1" operator="equal">
      <formula>FALSE</formula>
    </cfRule>
  </conditionalFormatting>
  <printOptions horizontalCentered="1"/>
  <pageMargins left="0.74803149606299213" right="0.74803149606299213" top="0.98425196850393704" bottom="0.98425196850393704" header="0.51181102362204722" footer="0.51181102362204722"/>
  <pageSetup paperSize="9" scale="86"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34998626667073579"/>
    <pageSetUpPr fitToPage="1"/>
  </sheetPr>
  <dimension ref="A2:HB1182"/>
  <sheetViews>
    <sheetView showGridLines="0" view="pageBreakPreview" zoomScaleNormal="100" zoomScaleSheetLayoutView="100" workbookViewId="0">
      <pane xSplit="2" ySplit="4" topLeftCell="C6" activePane="bottomRight" state="frozen"/>
      <selection activeCell="B7" sqref="B7"/>
      <selection pane="topRight" activeCell="B7" sqref="B7"/>
      <selection pane="bottomLeft" activeCell="B7" sqref="B7"/>
      <selection pane="bottomRight" activeCell="B4" sqref="B4:B50"/>
    </sheetView>
  </sheetViews>
  <sheetFormatPr defaultColWidth="9.42578125" defaultRowHeight="12.75" outlineLevelCol="1"/>
  <cols>
    <col min="1" max="1" width="1.28515625" customWidth="1"/>
    <col min="2" max="2" width="55" style="1" customWidth="1"/>
    <col min="3" max="3" width="9.28515625" style="5" customWidth="1" collapsed="1"/>
    <col min="4" max="4" width="9.28515625" style="5" hidden="1" customWidth="1" outlineLevel="1"/>
    <col min="5" max="6" width="9.28515625" style="5" hidden="1" customWidth="1" outlineLevel="1" collapsed="1"/>
    <col min="7" max="7" width="9.28515625" style="5" customWidth="1" collapsed="1"/>
    <col min="8" max="10" width="9.28515625" style="5" hidden="1" customWidth="1" outlineLevel="1" collapsed="1"/>
    <col min="11" max="11" width="9.28515625" style="5" customWidth="1" collapsed="1"/>
  </cols>
  <sheetData>
    <row r="2" spans="1:210" ht="15.75">
      <c r="B2" s="399" t="str">
        <f>names!A1413</f>
        <v>Skonsolidowane sprawozdanie z sytuacji finansowej</v>
      </c>
      <c r="L2" s="577"/>
    </row>
    <row r="3" spans="1:210" ht="10.15" customHeight="1">
      <c r="L3" s="577"/>
    </row>
    <row r="4" spans="1:210" s="61" customFormat="1" ht="21" customHeight="1">
      <c r="A4" s="60"/>
      <c r="B4" s="96" t="str">
        <f>names!A1415</f>
        <v>Wyszczególnienie, 
mln PLN</v>
      </c>
      <c r="C4" s="96" t="s">
        <v>283</v>
      </c>
      <c r="D4" s="96" t="s">
        <v>307</v>
      </c>
      <c r="E4" s="96" t="s">
        <v>317</v>
      </c>
      <c r="F4" s="96" t="s">
        <v>308</v>
      </c>
      <c r="G4" s="96" t="s">
        <v>309</v>
      </c>
      <c r="H4" s="96" t="s">
        <v>343</v>
      </c>
      <c r="I4" s="96" t="s">
        <v>347</v>
      </c>
      <c r="J4" s="96" t="s">
        <v>348</v>
      </c>
      <c r="K4" s="96" t="s">
        <v>349</v>
      </c>
      <c r="L4" s="577"/>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row>
    <row r="5" spans="1:210" s="29" customFormat="1" ht="7.15" customHeight="1">
      <c r="B5" s="87"/>
      <c r="C5" s="86"/>
      <c r="D5" s="86"/>
      <c r="E5" s="86"/>
      <c r="F5" s="86"/>
      <c r="G5" s="86"/>
      <c r="H5" s="86"/>
      <c r="I5" s="86"/>
      <c r="J5" s="86"/>
      <c r="K5" s="86"/>
      <c r="L5" s="577"/>
    </row>
    <row r="6" spans="1:210" s="5" customFormat="1" ht="9" customHeight="1">
      <c r="B6" s="68" t="str">
        <f>names!A1417</f>
        <v>AKTYWA</v>
      </c>
      <c r="C6" s="218"/>
      <c r="D6" s="67"/>
      <c r="E6" s="67"/>
      <c r="F6" s="67"/>
      <c r="G6" s="218"/>
      <c r="H6" s="67"/>
      <c r="I6" s="67"/>
      <c r="J6" s="67"/>
      <c r="K6" s="218"/>
      <c r="L6" s="577"/>
    </row>
    <row r="7" spans="1:210" s="5" customFormat="1" ht="11.25">
      <c r="B7" s="2" t="str">
        <f>names!A1418</f>
        <v>Rzeczowe aktywa trwałe</v>
      </c>
      <c r="C7" s="219">
        <v>27671</v>
      </c>
      <c r="D7" s="170">
        <v>27364</v>
      </c>
      <c r="E7" s="170">
        <v>27978</v>
      </c>
      <c r="F7" s="170">
        <v>28499</v>
      </c>
      <c r="G7" s="219">
        <v>29071</v>
      </c>
      <c r="H7" s="170">
        <v>29197</v>
      </c>
      <c r="I7" s="170">
        <v>29963</v>
      </c>
      <c r="J7" s="170">
        <v>30181</v>
      </c>
      <c r="K7" s="219">
        <v>31390</v>
      </c>
      <c r="L7" s="577"/>
    </row>
    <row r="8" spans="1:210" s="5" customFormat="1" ht="11.25">
      <c r="B8" s="2" t="str">
        <f>names!A1419</f>
        <v>Wartości niematerialne</v>
      </c>
      <c r="C8" s="219">
        <v>1377</v>
      </c>
      <c r="D8" s="170">
        <v>1529</v>
      </c>
      <c r="E8" s="170">
        <v>1222</v>
      </c>
      <c r="F8" s="170">
        <v>1249</v>
      </c>
      <c r="G8" s="219">
        <v>1272</v>
      </c>
      <c r="H8" s="170">
        <v>1543</v>
      </c>
      <c r="I8" s="170">
        <v>1202</v>
      </c>
      <c r="J8" s="170">
        <v>1268</v>
      </c>
      <c r="K8" s="219">
        <v>1323</v>
      </c>
      <c r="L8" s="577"/>
    </row>
    <row r="9" spans="1:210" s="5" customFormat="1" ht="11.25">
      <c r="B9" s="2" t="str">
        <f>names!A1420</f>
        <v>Inwestycje wyceniane metodą praw własności</v>
      </c>
      <c r="C9" s="219">
        <v>763</v>
      </c>
      <c r="D9" s="170">
        <v>830</v>
      </c>
      <c r="E9" s="170">
        <v>710</v>
      </c>
      <c r="F9" s="170">
        <v>774</v>
      </c>
      <c r="G9" s="219">
        <v>758</v>
      </c>
      <c r="H9" s="170">
        <v>750</v>
      </c>
      <c r="I9" s="170">
        <v>641</v>
      </c>
      <c r="J9" s="170">
        <v>667</v>
      </c>
      <c r="K9" s="219">
        <v>650</v>
      </c>
      <c r="L9" s="577"/>
    </row>
    <row r="10" spans="1:210" s="5" customFormat="1" ht="11.25">
      <c r="B10" s="2" t="str">
        <f>names!A1421</f>
        <v>Aktywa z tytułu podatku odroczonego</v>
      </c>
      <c r="C10" s="219">
        <v>167</v>
      </c>
      <c r="D10" s="170">
        <v>132</v>
      </c>
      <c r="E10" s="170">
        <v>109</v>
      </c>
      <c r="F10" s="170">
        <v>60</v>
      </c>
      <c r="G10" s="219">
        <v>49</v>
      </c>
      <c r="H10" s="170">
        <v>32</v>
      </c>
      <c r="I10" s="170">
        <v>26</v>
      </c>
      <c r="J10" s="170">
        <v>30</v>
      </c>
      <c r="K10" s="219">
        <v>70</v>
      </c>
      <c r="L10" s="577"/>
    </row>
    <row r="11" spans="1:210" s="5" customFormat="1" ht="11.25">
      <c r="B11" s="2" t="str">
        <f>names!A1422</f>
        <v>Instrumenty pochodne</v>
      </c>
      <c r="C11" s="219">
        <v>66</v>
      </c>
      <c r="D11" s="170">
        <v>168</v>
      </c>
      <c r="E11" s="170">
        <v>257</v>
      </c>
      <c r="F11" s="170">
        <v>196</v>
      </c>
      <c r="G11" s="219">
        <v>303</v>
      </c>
      <c r="H11" s="170">
        <v>260</v>
      </c>
      <c r="I11" s="170">
        <v>95</v>
      </c>
      <c r="J11" s="170">
        <v>167</v>
      </c>
      <c r="K11" s="219">
        <v>161</v>
      </c>
      <c r="L11" s="577"/>
    </row>
    <row r="12" spans="1:210" s="5" customFormat="1" ht="11.25">
      <c r="B12" s="2" t="str">
        <f>names!A1423</f>
        <v>Pozostałe aktywa</v>
      </c>
      <c r="C12" s="219">
        <v>277</v>
      </c>
      <c r="D12" s="170">
        <v>286</v>
      </c>
      <c r="E12" s="170">
        <v>283</v>
      </c>
      <c r="F12" s="170">
        <v>288</v>
      </c>
      <c r="G12" s="219">
        <v>287</v>
      </c>
      <c r="H12" s="170">
        <v>344</v>
      </c>
      <c r="I12" s="170">
        <v>337</v>
      </c>
      <c r="J12" s="170">
        <v>345</v>
      </c>
      <c r="K12" s="219">
        <v>338</v>
      </c>
      <c r="L12" s="577"/>
    </row>
    <row r="13" spans="1:210" s="5" customFormat="1" ht="11.25">
      <c r="B13" s="71" t="str">
        <f>names!A1424</f>
        <v>Aktywa trwałe</v>
      </c>
      <c r="C13" s="220">
        <v>30321</v>
      </c>
      <c r="D13" s="171">
        <v>30309</v>
      </c>
      <c r="E13" s="171">
        <v>30559</v>
      </c>
      <c r="F13" s="171">
        <v>31066</v>
      </c>
      <c r="G13" s="220">
        <v>31740</v>
      </c>
      <c r="H13" s="171">
        <v>32126</v>
      </c>
      <c r="I13" s="171">
        <v>32264</v>
      </c>
      <c r="J13" s="171">
        <v>32658</v>
      </c>
      <c r="K13" s="220">
        <v>33932</v>
      </c>
      <c r="L13" s="577"/>
    </row>
    <row r="14" spans="1:210" s="5" customFormat="1" ht="11.25">
      <c r="B14" s="2" t="str">
        <f>names!A1425</f>
        <v>Zapasy</v>
      </c>
      <c r="C14" s="219">
        <v>11182</v>
      </c>
      <c r="D14" s="170">
        <v>11946</v>
      </c>
      <c r="E14" s="170">
        <v>11036</v>
      </c>
      <c r="F14" s="170">
        <v>11353</v>
      </c>
      <c r="G14" s="219">
        <v>12440</v>
      </c>
      <c r="H14" s="170">
        <v>13348</v>
      </c>
      <c r="I14" s="170">
        <v>14446</v>
      </c>
      <c r="J14" s="170">
        <v>15409</v>
      </c>
      <c r="K14" s="219">
        <v>14362</v>
      </c>
      <c r="L14" s="577"/>
    </row>
    <row r="15" spans="1:210" s="5" customFormat="1" ht="11.25">
      <c r="B15" s="2" t="str">
        <f>names!A1426</f>
        <v>Należności z tytułu dostaw i usług oraz pozostałe należności</v>
      </c>
      <c r="C15" s="219">
        <v>8553</v>
      </c>
      <c r="D15" s="170">
        <v>7896</v>
      </c>
      <c r="E15" s="170">
        <v>8420</v>
      </c>
      <c r="F15" s="170">
        <v>9541</v>
      </c>
      <c r="G15" s="219">
        <v>9518</v>
      </c>
      <c r="H15" s="170">
        <v>9862</v>
      </c>
      <c r="I15" s="170">
        <v>11826</v>
      </c>
      <c r="J15" s="170">
        <v>12552</v>
      </c>
      <c r="K15" s="219">
        <v>10479</v>
      </c>
      <c r="L15" s="577"/>
    </row>
    <row r="16" spans="1:210" s="5" customFormat="1" ht="11.25">
      <c r="B16" s="2" t="str">
        <f>names!A1427</f>
        <v>Należności z tytułu podatku dochodowego</v>
      </c>
      <c r="C16" s="219">
        <v>121</v>
      </c>
      <c r="D16" s="170">
        <v>74</v>
      </c>
      <c r="E16" s="170">
        <v>101</v>
      </c>
      <c r="F16" s="170">
        <v>81</v>
      </c>
      <c r="G16" s="219">
        <v>80</v>
      </c>
      <c r="H16" s="170">
        <v>101</v>
      </c>
      <c r="I16" s="170">
        <v>86</v>
      </c>
      <c r="J16" s="170">
        <v>88</v>
      </c>
      <c r="K16" s="219">
        <v>114</v>
      </c>
      <c r="L16" s="577"/>
    </row>
    <row r="17" spans="2:12" s="5" customFormat="1" ht="11.25">
      <c r="B17" s="2" t="str">
        <f>names!A1428</f>
        <v>Środki pieniężne i ich ekwiwalenty</v>
      </c>
      <c r="C17" s="219">
        <v>5072</v>
      </c>
      <c r="D17" s="170">
        <v>3816</v>
      </c>
      <c r="E17" s="170">
        <v>5833</v>
      </c>
      <c r="F17" s="170">
        <v>6533</v>
      </c>
      <c r="G17" s="219">
        <v>6244</v>
      </c>
      <c r="H17" s="170">
        <v>4080</v>
      </c>
      <c r="I17" s="170">
        <v>5278</v>
      </c>
      <c r="J17" s="170">
        <v>6012</v>
      </c>
      <c r="K17" s="219">
        <v>4192</v>
      </c>
      <c r="L17" s="577"/>
    </row>
    <row r="18" spans="2:12" s="5" customFormat="1" ht="11.25">
      <c r="B18" s="2" t="str">
        <f>names!A1429</f>
        <v>Aktywa trwałe przeznaczone do sprzedaży</v>
      </c>
      <c r="C18" s="219">
        <v>61</v>
      </c>
      <c r="D18" s="170">
        <v>25</v>
      </c>
      <c r="E18" s="170">
        <v>15</v>
      </c>
      <c r="F18" s="170">
        <v>12</v>
      </c>
      <c r="G18" s="219">
        <v>75</v>
      </c>
      <c r="H18" s="170">
        <v>62</v>
      </c>
      <c r="I18" s="170">
        <v>22</v>
      </c>
      <c r="J18" s="170">
        <v>75</v>
      </c>
      <c r="K18" s="219">
        <v>202</v>
      </c>
      <c r="L18" s="577"/>
    </row>
    <row r="19" spans="2:12" s="5" customFormat="1" ht="11.25">
      <c r="B19" s="2" t="str">
        <f>names!A1430</f>
        <v>Instrumenty pochodne</v>
      </c>
      <c r="C19" s="219">
        <v>97</v>
      </c>
      <c r="D19" s="170">
        <v>435</v>
      </c>
      <c r="E19" s="170">
        <v>380</v>
      </c>
      <c r="F19" s="170">
        <v>374</v>
      </c>
      <c r="G19" s="219">
        <v>434</v>
      </c>
      <c r="H19" s="170">
        <v>445</v>
      </c>
      <c r="I19" s="170">
        <v>572</v>
      </c>
      <c r="J19" s="170">
        <v>583</v>
      </c>
      <c r="K19" s="219">
        <v>524</v>
      </c>
      <c r="L19" s="577"/>
    </row>
    <row r="20" spans="2:12" s="5" customFormat="1" ht="11.25">
      <c r="B20" s="2" t="str">
        <f>names!A1431</f>
        <v>Pozostałe aktywa</v>
      </c>
      <c r="C20" s="219">
        <v>152</v>
      </c>
      <c r="D20" s="170">
        <v>94</v>
      </c>
      <c r="E20" s="170">
        <v>145</v>
      </c>
      <c r="F20" s="170">
        <v>116</v>
      </c>
      <c r="G20" s="219">
        <v>133</v>
      </c>
      <c r="H20" s="170">
        <v>68</v>
      </c>
      <c r="I20" s="170">
        <v>77</v>
      </c>
      <c r="J20" s="170">
        <v>79</v>
      </c>
      <c r="K20" s="219">
        <v>336</v>
      </c>
      <c r="L20" s="577"/>
    </row>
    <row r="21" spans="2:12" s="5" customFormat="1" ht="12" thickBot="1">
      <c r="B21" s="90" t="str">
        <f>names!A1432</f>
        <v>Aktywa obrotowe</v>
      </c>
      <c r="C21" s="221">
        <v>25238</v>
      </c>
      <c r="D21" s="172">
        <v>24286</v>
      </c>
      <c r="E21" s="172">
        <v>25930</v>
      </c>
      <c r="F21" s="172">
        <v>28010</v>
      </c>
      <c r="G21" s="221">
        <v>28924</v>
      </c>
      <c r="H21" s="172">
        <v>27966</v>
      </c>
      <c r="I21" s="172">
        <v>32307</v>
      </c>
      <c r="J21" s="172">
        <v>34798</v>
      </c>
      <c r="K21" s="221">
        <v>30209</v>
      </c>
      <c r="L21" s="577"/>
    </row>
    <row r="22" spans="2:12" s="5" customFormat="1" thickBot="1">
      <c r="B22" s="84" t="str">
        <f>names!A1433</f>
        <v>Aktywa razem</v>
      </c>
      <c r="C22" s="222">
        <v>55559</v>
      </c>
      <c r="D22" s="166">
        <v>54595</v>
      </c>
      <c r="E22" s="166">
        <v>56489</v>
      </c>
      <c r="F22" s="166">
        <v>59076</v>
      </c>
      <c r="G22" s="222">
        <v>60664</v>
      </c>
      <c r="H22" s="166">
        <v>60092</v>
      </c>
      <c r="I22" s="166">
        <v>64571</v>
      </c>
      <c r="J22" s="166">
        <v>67456</v>
      </c>
      <c r="K22" s="222">
        <v>64141</v>
      </c>
      <c r="L22" s="577"/>
    </row>
    <row r="23" spans="2:12" s="5" customFormat="1" ht="11.25">
      <c r="B23" s="68" t="str">
        <f>names!A1434</f>
        <v>PASYWA</v>
      </c>
      <c r="C23" s="223"/>
      <c r="D23" s="173"/>
      <c r="E23" s="173"/>
      <c r="F23" s="173"/>
      <c r="G23" s="223"/>
      <c r="H23" s="173"/>
      <c r="I23" s="173"/>
      <c r="J23" s="173"/>
      <c r="K23" s="223"/>
      <c r="L23" s="577"/>
    </row>
    <row r="24" spans="2:12" s="5" customFormat="1" ht="11.25">
      <c r="B24" s="68" t="str">
        <f>names!A1435</f>
        <v>KAPITAŁ WŁASNY</v>
      </c>
      <c r="C24" s="223"/>
      <c r="D24" s="173"/>
      <c r="E24" s="173"/>
      <c r="F24" s="173"/>
      <c r="G24" s="223"/>
      <c r="H24" s="173"/>
      <c r="I24" s="173"/>
      <c r="J24" s="173"/>
      <c r="K24" s="223"/>
      <c r="L24" s="577"/>
    </row>
    <row r="25" spans="2:12" s="5" customFormat="1" ht="11.25">
      <c r="B25" s="2" t="str">
        <f>names!A1436</f>
        <v>Kapitał podstawowy</v>
      </c>
      <c r="C25" s="219">
        <v>1058</v>
      </c>
      <c r="D25" s="170">
        <v>1058</v>
      </c>
      <c r="E25" s="170">
        <v>1058</v>
      </c>
      <c r="F25" s="170">
        <v>1058</v>
      </c>
      <c r="G25" s="219">
        <v>1058</v>
      </c>
      <c r="H25" s="170">
        <v>1058</v>
      </c>
      <c r="I25" s="170">
        <v>1058</v>
      </c>
      <c r="J25" s="170">
        <v>1058</v>
      </c>
      <c r="K25" s="219">
        <v>1058</v>
      </c>
      <c r="L25" s="577"/>
    </row>
    <row r="26" spans="2:12" s="5" customFormat="1" ht="11.25">
      <c r="B26" s="2" t="str">
        <f>names!A1437</f>
        <v>Kapitał z emisji akcji powyżej ich wartości nominalnej</v>
      </c>
      <c r="C26" s="219">
        <v>1227</v>
      </c>
      <c r="D26" s="170">
        <v>1227</v>
      </c>
      <c r="E26" s="170">
        <v>1227</v>
      </c>
      <c r="F26" s="170">
        <v>1227</v>
      </c>
      <c r="G26" s="219">
        <v>1227</v>
      </c>
      <c r="H26" s="170">
        <v>1227</v>
      </c>
      <c r="I26" s="170">
        <v>1227</v>
      </c>
      <c r="J26" s="170">
        <v>1227</v>
      </c>
      <c r="K26" s="219">
        <v>1227</v>
      </c>
      <c r="L26" s="577"/>
    </row>
    <row r="27" spans="2:12" s="5" customFormat="1" ht="11.25">
      <c r="B27" s="2" t="str">
        <f>names!A1438</f>
        <v xml:space="preserve">Kapitał z tytułu stosowania rachunkowości zabezpieczeń </v>
      </c>
      <c r="C27" s="219">
        <v>-355</v>
      </c>
      <c r="D27" s="170">
        <v>297</v>
      </c>
      <c r="E27" s="170">
        <v>293</v>
      </c>
      <c r="F27" s="170">
        <v>231</v>
      </c>
      <c r="G27" s="219">
        <v>331</v>
      </c>
      <c r="H27" s="170">
        <v>297</v>
      </c>
      <c r="I27" s="170">
        <v>48</v>
      </c>
      <c r="J27" s="170">
        <v>90</v>
      </c>
      <c r="K27" s="219">
        <v>361</v>
      </c>
      <c r="L27" s="577"/>
    </row>
    <row r="28" spans="2:12" s="5" customFormat="1" ht="11.25">
      <c r="B28" s="2" t="str">
        <f>names!A1439</f>
        <v>Kapitał z aktualizacji wyceny</v>
      </c>
      <c r="C28" s="219">
        <v>5</v>
      </c>
      <c r="D28" s="170">
        <v>5</v>
      </c>
      <c r="E28" s="170">
        <v>5</v>
      </c>
      <c r="F28" s="170">
        <v>5</v>
      </c>
      <c r="G28" s="219">
        <v>5</v>
      </c>
      <c r="H28" s="170">
        <v>11</v>
      </c>
      <c r="I28" s="170">
        <v>2</v>
      </c>
      <c r="J28" s="170">
        <v>-10</v>
      </c>
      <c r="K28" s="219">
        <v>-15</v>
      </c>
      <c r="L28" s="577"/>
    </row>
    <row r="29" spans="2:12" s="5" customFormat="1" ht="11.25">
      <c r="B29" s="2" t="str">
        <f>names!A1440</f>
        <v>Różnice kursowe z przeliczenia jednostek działających za granicą</v>
      </c>
      <c r="C29" s="219">
        <v>946</v>
      </c>
      <c r="D29" s="170">
        <v>475</v>
      </c>
      <c r="E29" s="170">
        <v>467</v>
      </c>
      <c r="F29" s="170">
        <v>643</v>
      </c>
      <c r="G29" s="219">
        <v>334</v>
      </c>
      <c r="H29" s="170">
        <v>326</v>
      </c>
      <c r="I29" s="170">
        <v>808</v>
      </c>
      <c r="J29" s="170">
        <v>639</v>
      </c>
      <c r="K29" s="219">
        <v>709</v>
      </c>
      <c r="L29" s="577"/>
    </row>
    <row r="30" spans="2:12" s="5" customFormat="1" ht="11.25">
      <c r="B30" s="2" t="str">
        <f>names!A1441</f>
        <v>Zyski zatrzymane</v>
      </c>
      <c r="C30" s="219">
        <v>23882</v>
      </c>
      <c r="D30" s="170">
        <v>25802</v>
      </c>
      <c r="E30" s="170">
        <v>26060</v>
      </c>
      <c r="F30" s="170">
        <v>27663</v>
      </c>
      <c r="G30" s="219">
        <v>29242</v>
      </c>
      <c r="H30" s="170">
        <v>29308</v>
      </c>
      <c r="I30" s="170">
        <v>29769</v>
      </c>
      <c r="J30" s="170">
        <v>31832</v>
      </c>
      <c r="K30" s="219">
        <v>32387</v>
      </c>
      <c r="L30" s="577"/>
    </row>
    <row r="31" spans="2:12" s="5" customFormat="1" ht="11.25">
      <c r="B31" s="393" t="str">
        <f>names!A1442</f>
        <v>Kapitał własny przypadający na akcjonariuszy jednostki dominującej</v>
      </c>
      <c r="C31" s="220">
        <v>26763</v>
      </c>
      <c r="D31" s="171">
        <v>28864</v>
      </c>
      <c r="E31" s="171">
        <v>29110</v>
      </c>
      <c r="F31" s="171">
        <v>30827</v>
      </c>
      <c r="G31" s="220">
        <v>32197</v>
      </c>
      <c r="H31" s="171">
        <v>32227</v>
      </c>
      <c r="I31" s="171">
        <v>32912</v>
      </c>
      <c r="J31" s="171">
        <v>34836</v>
      </c>
      <c r="K31" s="220">
        <v>35727</v>
      </c>
      <c r="L31" s="577"/>
    </row>
    <row r="32" spans="2:12" s="5" customFormat="1" ht="11.25">
      <c r="B32" s="71" t="str">
        <f>names!A1443</f>
        <v>Kapitał własny przypadający udziałom niekontrolującym</v>
      </c>
      <c r="C32" s="224">
        <v>2522</v>
      </c>
      <c r="D32" s="174">
        <v>2585</v>
      </c>
      <c r="E32" s="174">
        <v>2829</v>
      </c>
      <c r="F32" s="174">
        <v>2996</v>
      </c>
      <c r="G32" s="224">
        <v>3014</v>
      </c>
      <c r="H32" s="174">
        <v>501</v>
      </c>
      <c r="I32" s="174">
        <v>530</v>
      </c>
      <c r="J32" s="174">
        <v>537</v>
      </c>
      <c r="K32" s="224">
        <v>12</v>
      </c>
      <c r="L32" s="577"/>
    </row>
    <row r="33" spans="2:12" s="5" customFormat="1" ht="11.25">
      <c r="B33" s="71" t="str">
        <f>names!A1444</f>
        <v>Kapitał własny razem</v>
      </c>
      <c r="C33" s="220">
        <v>29285</v>
      </c>
      <c r="D33" s="171">
        <v>31449</v>
      </c>
      <c r="E33" s="171">
        <v>31939</v>
      </c>
      <c r="F33" s="171">
        <v>33823</v>
      </c>
      <c r="G33" s="220">
        <v>35211</v>
      </c>
      <c r="H33" s="171">
        <v>32728</v>
      </c>
      <c r="I33" s="171">
        <v>33442</v>
      </c>
      <c r="J33" s="171">
        <v>35373</v>
      </c>
      <c r="K33" s="220">
        <v>35739</v>
      </c>
      <c r="L33" s="577"/>
    </row>
    <row r="34" spans="2:12" s="5" customFormat="1" ht="11.25">
      <c r="B34" s="103" t="str">
        <f>names!A1445</f>
        <v>ZOBOWIĄZANIA</v>
      </c>
      <c r="C34" s="221"/>
      <c r="D34" s="172"/>
      <c r="E34" s="172"/>
      <c r="F34" s="172"/>
      <c r="G34" s="221"/>
      <c r="H34" s="172"/>
      <c r="I34" s="172"/>
      <c r="J34" s="172"/>
      <c r="K34" s="221"/>
      <c r="L34" s="577"/>
    </row>
    <row r="35" spans="2:12" s="5" customFormat="1" ht="11.25">
      <c r="B35" s="2" t="str">
        <f>names!A1446</f>
        <v>Kredyty, pożyczki i obligacje</v>
      </c>
      <c r="C35" s="225">
        <v>7446</v>
      </c>
      <c r="D35" s="175">
        <v>6536</v>
      </c>
      <c r="E35" s="175">
        <v>6351</v>
      </c>
      <c r="F35" s="175">
        <v>6449</v>
      </c>
      <c r="G35" s="225">
        <v>6688</v>
      </c>
      <c r="H35" s="175">
        <v>7831</v>
      </c>
      <c r="I35" s="175">
        <v>8499</v>
      </c>
      <c r="J35" s="175">
        <v>8549</v>
      </c>
      <c r="K35" s="225">
        <v>8598</v>
      </c>
      <c r="L35" s="577"/>
    </row>
    <row r="36" spans="2:12" s="5" customFormat="1" ht="11.25">
      <c r="B36" s="2" t="str">
        <f>names!A1447</f>
        <v xml:space="preserve">Rezerwy </v>
      </c>
      <c r="C36" s="225">
        <v>828</v>
      </c>
      <c r="D36" s="175">
        <v>813</v>
      </c>
      <c r="E36" s="175">
        <v>844</v>
      </c>
      <c r="F36" s="175">
        <v>845</v>
      </c>
      <c r="G36" s="225">
        <v>902</v>
      </c>
      <c r="H36" s="175">
        <v>902</v>
      </c>
      <c r="I36" s="175">
        <v>931</v>
      </c>
      <c r="J36" s="175">
        <v>929</v>
      </c>
      <c r="K36" s="225">
        <v>1055</v>
      </c>
      <c r="L36" s="577"/>
    </row>
    <row r="37" spans="2:12" s="5" customFormat="1" ht="11.25">
      <c r="B37" s="2" t="str">
        <f>names!A1448</f>
        <v>Zobowiązania z tytułu podatku odroczonego</v>
      </c>
      <c r="C37" s="225">
        <v>809</v>
      </c>
      <c r="D37" s="175">
        <v>1045</v>
      </c>
      <c r="E37" s="175">
        <v>1114</v>
      </c>
      <c r="F37" s="175">
        <v>1085</v>
      </c>
      <c r="G37" s="225">
        <v>1095</v>
      </c>
      <c r="H37" s="175">
        <v>1091</v>
      </c>
      <c r="I37" s="175">
        <v>1079</v>
      </c>
      <c r="J37" s="175">
        <v>1138</v>
      </c>
      <c r="K37" s="225">
        <v>1445</v>
      </c>
      <c r="L37" s="577"/>
    </row>
    <row r="38" spans="2:12" s="5" customFormat="1" ht="11.25">
      <c r="B38" s="2" t="str">
        <f>names!A1449</f>
        <v>Instrumenty pochodne</v>
      </c>
      <c r="C38" s="225">
        <v>280</v>
      </c>
      <c r="D38" s="175">
        <v>127</v>
      </c>
      <c r="E38" s="175">
        <v>119</v>
      </c>
      <c r="F38" s="175">
        <v>134</v>
      </c>
      <c r="G38" s="225">
        <v>75</v>
      </c>
      <c r="H38" s="175">
        <v>53</v>
      </c>
      <c r="I38" s="175">
        <v>70</v>
      </c>
      <c r="J38" s="175">
        <v>46</v>
      </c>
      <c r="K38" s="225">
        <v>42</v>
      </c>
      <c r="L38" s="577"/>
    </row>
    <row r="39" spans="2:12" s="5" customFormat="1" ht="11.25">
      <c r="B39" s="2" t="str">
        <f>names!A1450</f>
        <v>Pozostałe zobowiązania</v>
      </c>
      <c r="C39" s="225">
        <v>289</v>
      </c>
      <c r="D39" s="175">
        <v>293</v>
      </c>
      <c r="E39" s="175">
        <v>290</v>
      </c>
      <c r="F39" s="175">
        <v>293</v>
      </c>
      <c r="G39" s="225">
        <v>311</v>
      </c>
      <c r="H39" s="175">
        <v>324</v>
      </c>
      <c r="I39" s="175">
        <v>333</v>
      </c>
      <c r="J39" s="175">
        <v>354</v>
      </c>
      <c r="K39" s="225">
        <v>366</v>
      </c>
      <c r="L39" s="577"/>
    </row>
    <row r="40" spans="2:12" s="5" customFormat="1" ht="11.25">
      <c r="B40" s="71" t="str">
        <f>names!A1451</f>
        <v>Zobowiązania długoterminowe</v>
      </c>
      <c r="C40" s="220">
        <v>9652</v>
      </c>
      <c r="D40" s="171">
        <v>8814</v>
      </c>
      <c r="E40" s="171">
        <v>8718</v>
      </c>
      <c r="F40" s="171">
        <v>8806</v>
      </c>
      <c r="G40" s="220">
        <v>9071</v>
      </c>
      <c r="H40" s="171">
        <v>10201</v>
      </c>
      <c r="I40" s="171">
        <v>10912</v>
      </c>
      <c r="J40" s="171">
        <v>11016</v>
      </c>
      <c r="K40" s="220">
        <v>11506</v>
      </c>
      <c r="L40" s="577"/>
    </row>
    <row r="41" spans="2:12" s="5" customFormat="1" ht="11.25">
      <c r="B41" s="3" t="str">
        <f>names!A1452</f>
        <v>Zobowiązania z tytułu dostaw i usług oraz pozostałe zobowiązania</v>
      </c>
      <c r="C41" s="225">
        <v>13591</v>
      </c>
      <c r="D41" s="175">
        <v>11977</v>
      </c>
      <c r="E41" s="175">
        <v>13877</v>
      </c>
      <c r="F41" s="175">
        <v>14196</v>
      </c>
      <c r="G41" s="225">
        <v>14469</v>
      </c>
      <c r="H41" s="175">
        <v>13900</v>
      </c>
      <c r="I41" s="175">
        <v>17047</v>
      </c>
      <c r="J41" s="175">
        <v>17717</v>
      </c>
      <c r="K41" s="225">
        <v>13697</v>
      </c>
      <c r="L41" s="577"/>
    </row>
    <row r="42" spans="2:12" s="5" customFormat="1" ht="11.25">
      <c r="B42" s="3" t="str">
        <f>names!A1453</f>
        <v>Zobowiązania z tytułu umów z klientami</v>
      </c>
      <c r="C42" s="225">
        <v>0</v>
      </c>
      <c r="D42" s="175">
        <v>0</v>
      </c>
      <c r="E42" s="175">
        <v>0</v>
      </c>
      <c r="F42" s="175">
        <v>0</v>
      </c>
      <c r="G42" s="225">
        <v>0</v>
      </c>
      <c r="H42" s="175">
        <v>164</v>
      </c>
      <c r="I42" s="175">
        <v>227</v>
      </c>
      <c r="J42" s="175">
        <v>251</v>
      </c>
      <c r="K42" s="225">
        <v>231</v>
      </c>
      <c r="L42" s="577"/>
    </row>
    <row r="43" spans="2:12" s="5" customFormat="1" ht="11.25">
      <c r="B43" s="2" t="str">
        <f>names!A1454</f>
        <v>Kredyty, pożyczki i obligacje</v>
      </c>
      <c r="C43" s="225">
        <v>989</v>
      </c>
      <c r="D43" s="175">
        <v>933</v>
      </c>
      <c r="E43" s="175">
        <v>657</v>
      </c>
      <c r="F43" s="175">
        <v>652</v>
      </c>
      <c r="G43" s="225">
        <v>317</v>
      </c>
      <c r="H43" s="175">
        <v>1403</v>
      </c>
      <c r="I43" s="175">
        <v>1035</v>
      </c>
      <c r="J43" s="175">
        <v>1114</v>
      </c>
      <c r="K43" s="225">
        <v>1193</v>
      </c>
      <c r="L43" s="577"/>
    </row>
    <row r="44" spans="2:12" s="5" customFormat="1" ht="11.25">
      <c r="B44" s="2" t="str">
        <f>names!A1455</f>
        <v>Rezerwy</v>
      </c>
      <c r="C44" s="225">
        <v>666</v>
      </c>
      <c r="D44" s="175">
        <v>724</v>
      </c>
      <c r="E44" s="175">
        <v>451</v>
      </c>
      <c r="F44" s="175">
        <v>539</v>
      </c>
      <c r="G44" s="225">
        <v>673</v>
      </c>
      <c r="H44" s="175">
        <v>820</v>
      </c>
      <c r="I44" s="175">
        <v>564</v>
      </c>
      <c r="J44" s="175">
        <v>736</v>
      </c>
      <c r="K44" s="225">
        <v>1019</v>
      </c>
      <c r="L44" s="577"/>
    </row>
    <row r="45" spans="2:12" s="5" customFormat="1" ht="11.25">
      <c r="B45" s="2" t="str">
        <f>names!A1456</f>
        <v>Zobowiązania z tytułu podatku dochodowego</v>
      </c>
      <c r="C45" s="225">
        <v>659</v>
      </c>
      <c r="D45" s="175">
        <v>215</v>
      </c>
      <c r="E45" s="175">
        <v>296</v>
      </c>
      <c r="F45" s="175">
        <v>418</v>
      </c>
      <c r="G45" s="225">
        <v>290</v>
      </c>
      <c r="H45" s="175">
        <v>297</v>
      </c>
      <c r="I45" s="175">
        <v>481</v>
      </c>
      <c r="J45" s="175">
        <v>482</v>
      </c>
      <c r="K45" s="225">
        <v>473</v>
      </c>
      <c r="L45" s="577"/>
    </row>
    <row r="46" spans="2:12" s="5" customFormat="1" ht="11.25">
      <c r="B46" s="2" t="str">
        <f>names!A1457</f>
        <v>Instrumenty pochodne</v>
      </c>
      <c r="C46" s="225">
        <v>403</v>
      </c>
      <c r="D46" s="175">
        <v>149</v>
      </c>
      <c r="E46" s="175">
        <v>195</v>
      </c>
      <c r="F46" s="175">
        <v>208</v>
      </c>
      <c r="G46" s="225">
        <v>313</v>
      </c>
      <c r="H46" s="175">
        <v>287</v>
      </c>
      <c r="I46" s="175">
        <v>576</v>
      </c>
      <c r="J46" s="175">
        <v>500</v>
      </c>
      <c r="K46" s="225">
        <v>193</v>
      </c>
      <c r="L46" s="577"/>
    </row>
    <row r="47" spans="2:12" s="5" customFormat="1" ht="11.25">
      <c r="B47" s="2" t="str">
        <f>names!A1458</f>
        <v>Pozostałe zobowiązania</v>
      </c>
      <c r="C47" s="225">
        <v>314</v>
      </c>
      <c r="D47" s="175">
        <v>334</v>
      </c>
      <c r="E47" s="175">
        <v>356</v>
      </c>
      <c r="F47" s="175">
        <v>434</v>
      </c>
      <c r="G47" s="225">
        <v>320</v>
      </c>
      <c r="H47" s="175">
        <v>292</v>
      </c>
      <c r="I47" s="175">
        <v>287</v>
      </c>
      <c r="J47" s="175">
        <v>267</v>
      </c>
      <c r="K47" s="225">
        <v>90</v>
      </c>
      <c r="L47" s="577"/>
    </row>
    <row r="48" spans="2:12" s="5" customFormat="1" ht="11.25">
      <c r="B48" s="71" t="str">
        <f>names!A1459</f>
        <v>Zobowiązania krótkoterminowe</v>
      </c>
      <c r="C48" s="220">
        <v>16622</v>
      </c>
      <c r="D48" s="171">
        <v>14332</v>
      </c>
      <c r="E48" s="171">
        <v>15832</v>
      </c>
      <c r="F48" s="171">
        <v>16447</v>
      </c>
      <c r="G48" s="220">
        <v>16382</v>
      </c>
      <c r="H48" s="171">
        <v>17163</v>
      </c>
      <c r="I48" s="171">
        <v>20217</v>
      </c>
      <c r="J48" s="171">
        <v>21067</v>
      </c>
      <c r="K48" s="220">
        <v>16896</v>
      </c>
      <c r="L48" s="577"/>
    </row>
    <row r="49" spans="2:12" s="5" customFormat="1" ht="12" thickBot="1">
      <c r="B49" s="88" t="str">
        <f>names!A1460</f>
        <v>Zobowiązania razem</v>
      </c>
      <c r="C49" s="226">
        <v>26274</v>
      </c>
      <c r="D49" s="176">
        <v>23146</v>
      </c>
      <c r="E49" s="176">
        <v>24550</v>
      </c>
      <c r="F49" s="176">
        <v>25253</v>
      </c>
      <c r="G49" s="226">
        <v>25453</v>
      </c>
      <c r="H49" s="176">
        <v>27364</v>
      </c>
      <c r="I49" s="176">
        <v>31129</v>
      </c>
      <c r="J49" s="176">
        <v>32083</v>
      </c>
      <c r="K49" s="226">
        <v>28402</v>
      </c>
      <c r="L49" s="577"/>
    </row>
    <row r="50" spans="2:12" s="5" customFormat="1" thickBot="1">
      <c r="B50" s="85" t="str">
        <f>names!A1461</f>
        <v>Pasywa razem</v>
      </c>
      <c r="C50" s="222">
        <v>55559</v>
      </c>
      <c r="D50" s="166">
        <v>54595</v>
      </c>
      <c r="E50" s="166">
        <v>56489</v>
      </c>
      <c r="F50" s="166">
        <v>59076</v>
      </c>
      <c r="G50" s="222">
        <v>60664</v>
      </c>
      <c r="H50" s="166">
        <v>60092</v>
      </c>
      <c r="I50" s="166">
        <v>64571</v>
      </c>
      <c r="J50" s="166">
        <v>67456</v>
      </c>
      <c r="K50" s="222">
        <v>64141</v>
      </c>
      <c r="L50" s="577"/>
    </row>
    <row r="51" spans="2:12" s="5" customFormat="1" ht="8.25" customHeight="1">
      <c r="B51" s="1"/>
      <c r="C51" s="434"/>
      <c r="D51" s="434"/>
      <c r="E51" s="434"/>
      <c r="H51" s="434"/>
      <c r="I51" s="434"/>
      <c r="J51" s="434"/>
      <c r="K51" s="434"/>
      <c r="L51" s="577"/>
    </row>
    <row r="53" spans="2:12">
      <c r="B53" s="577"/>
      <c r="C53" s="577"/>
      <c r="D53" s="577"/>
      <c r="E53" s="577"/>
      <c r="F53" s="577"/>
      <c r="G53" s="577"/>
      <c r="H53" s="577"/>
      <c r="I53" s="577"/>
      <c r="J53" s="577"/>
      <c r="K53" s="577"/>
    </row>
    <row r="54" spans="2:12" ht="12.75" customHeight="1">
      <c r="B54" s="43"/>
      <c r="C54" s="36"/>
      <c r="D54" s="36"/>
      <c r="E54" s="36"/>
      <c r="F54" s="36"/>
      <c r="G54" s="36"/>
      <c r="H54" s="36"/>
      <c r="I54" s="36"/>
      <c r="J54" s="36"/>
      <c r="K54" s="36"/>
    </row>
    <row r="55" spans="2:12" ht="12.75" customHeight="1">
      <c r="B55" s="4"/>
      <c r="C55" s="36"/>
      <c r="D55" s="36"/>
      <c r="E55" s="36"/>
      <c r="F55" s="36"/>
      <c r="G55" s="36"/>
      <c r="H55" s="36"/>
      <c r="I55" s="36"/>
      <c r="J55" s="36"/>
      <c r="K55" s="36"/>
    </row>
    <row r="56" spans="2:12" ht="12.75" customHeight="1">
      <c r="B56" s="43"/>
      <c r="C56" s="32"/>
      <c r="D56" s="32"/>
      <c r="E56" s="32"/>
      <c r="F56" s="32"/>
      <c r="G56" s="32"/>
      <c r="H56" s="32"/>
      <c r="I56" s="32"/>
      <c r="J56" s="32"/>
      <c r="K56" s="32"/>
    </row>
    <row r="57" spans="2:12" ht="12.75" customHeight="1">
      <c r="C57" s="35"/>
      <c r="D57" s="35"/>
      <c r="E57" s="35"/>
      <c r="F57" s="35"/>
      <c r="G57" s="35"/>
      <c r="H57" s="35"/>
      <c r="I57" s="35"/>
      <c r="J57" s="35"/>
      <c r="K57" s="35"/>
    </row>
    <row r="58" spans="2:12" ht="12.75" customHeight="1"/>
    <row r="59" spans="2:12" ht="25.5" customHeight="1"/>
    <row r="60" spans="2:12" ht="12.75" customHeight="1"/>
    <row r="61" spans="2:12" ht="12.75" customHeight="1"/>
    <row r="62" spans="2:12" ht="12.75" customHeight="1"/>
    <row r="63" spans="2:12" ht="12.75" customHeight="1"/>
    <row r="64" spans="2:12"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181" ht="12.75" customHeight="1"/>
    <row r="1182" ht="22.5" customHeight="1"/>
  </sheetData>
  <conditionalFormatting sqref="B53:K53">
    <cfRule type="cellIs" dxfId="32" priority="2" operator="equal">
      <formula>FALSE</formula>
    </cfRule>
  </conditionalFormatting>
  <conditionalFormatting sqref="L2:L51">
    <cfRule type="cellIs" dxfId="31" priority="1" operator="equal">
      <formula>FALSE</formula>
    </cfRule>
  </conditionalFormatting>
  <printOptions horizont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0.34998626667073579"/>
    <pageSetUpPr fitToPage="1"/>
  </sheetPr>
  <dimension ref="A2:GS1190"/>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outlineLevelCol="1"/>
  <cols>
    <col min="1" max="1" width="1.28515625" customWidth="1"/>
    <col min="2" max="2" width="55" style="1" customWidth="1"/>
    <col min="3" max="5" width="9.28515625" style="5" hidden="1" customWidth="1" outlineLevel="1" collapsed="1"/>
    <col min="6" max="6" width="9.28515625" style="5" customWidth="1" collapsed="1"/>
    <col min="7" max="9" width="9.28515625" style="5" hidden="1" customWidth="1" outlineLevel="1" collapsed="1"/>
    <col min="10" max="10" width="9.28515625" style="5" customWidth="1" collapsed="1"/>
    <col min="11" max="13" width="9.28515625" style="5" hidden="1" customWidth="1" outlineLevel="1" collapsed="1"/>
    <col min="14" max="14" width="9.28515625" style="5" customWidth="1" collapsed="1"/>
    <col min="15" max="17" width="9.28515625" style="5" hidden="1" customWidth="1" outlineLevel="1" collapsed="1"/>
    <col min="18" max="18" width="9.28515625" style="5" customWidth="1" collapsed="1"/>
    <col min="19" max="21" width="9.28515625" style="5" hidden="1" customWidth="1" outlineLevel="1" collapsed="1"/>
    <col min="22" max="22" width="9.28515625" style="5" customWidth="1" collapsed="1"/>
    <col min="23" max="25" width="9.28515625" style="5" hidden="1" customWidth="1" outlineLevel="1" collapsed="1"/>
    <col min="26" max="26" width="9.28515625" style="5" customWidth="1" collapsed="1"/>
  </cols>
  <sheetData>
    <row r="2" spans="1:201" ht="15.75">
      <c r="B2" s="399" t="str">
        <f>names!$A623</f>
        <v>Skonsolidowane sprawozdanie z sytuacji finansowej</v>
      </c>
    </row>
    <row r="3" spans="1:201" ht="10.15" customHeight="1"/>
    <row r="4" spans="1:201" s="61" customFormat="1" ht="21" customHeight="1">
      <c r="A4" s="60"/>
      <c r="B4" s="96" t="str">
        <f>names!$A625</f>
        <v>Wyszczególnienie, 
mln PLN</v>
      </c>
      <c r="C4" s="96" t="s">
        <v>368</v>
      </c>
      <c r="D4" s="96" t="s">
        <v>369</v>
      </c>
      <c r="E4" s="96" t="s">
        <v>370</v>
      </c>
      <c r="F4" s="96" t="s">
        <v>371</v>
      </c>
      <c r="G4" s="96" t="s">
        <v>414</v>
      </c>
      <c r="H4" s="96" t="s">
        <v>415</v>
      </c>
      <c r="I4" s="96" t="s">
        <v>416</v>
      </c>
      <c r="J4" s="96" t="s">
        <v>417</v>
      </c>
      <c r="K4" s="96" t="s">
        <v>508</v>
      </c>
      <c r="L4" s="96" t="s">
        <v>600</v>
      </c>
      <c r="M4" s="96" t="s">
        <v>601</v>
      </c>
      <c r="N4" s="96" t="s">
        <v>496</v>
      </c>
      <c r="O4" s="96" t="s">
        <v>519</v>
      </c>
      <c r="P4" s="96" t="s">
        <v>520</v>
      </c>
      <c r="Q4" s="96" t="s">
        <v>521</v>
      </c>
      <c r="R4" s="96" t="s">
        <v>522</v>
      </c>
      <c r="S4" s="96" t="s">
        <v>676</v>
      </c>
      <c r="T4" s="96" t="s">
        <v>677</v>
      </c>
      <c r="U4" s="96" t="s">
        <v>678</v>
      </c>
      <c r="V4" s="96" t="s">
        <v>679</v>
      </c>
      <c r="W4" s="96" t="s">
        <v>766</v>
      </c>
      <c r="X4" s="96" t="s">
        <v>767</v>
      </c>
      <c r="Y4" s="96" t="s">
        <v>768</v>
      </c>
      <c r="Z4" s="96" t="s">
        <v>769</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row>
    <row r="5" spans="1:201" s="29" customFormat="1" ht="7.15" customHeight="1">
      <c r="B5" s="87"/>
      <c r="C5" s="86"/>
      <c r="D5" s="86"/>
      <c r="E5" s="86"/>
      <c r="F5" s="86"/>
      <c r="G5" s="86"/>
      <c r="H5" s="86"/>
      <c r="I5" s="86"/>
      <c r="J5" s="86"/>
      <c r="K5" s="86"/>
      <c r="L5" s="86"/>
      <c r="M5" s="86"/>
      <c r="N5" s="86"/>
      <c r="O5" s="86"/>
      <c r="P5" s="86"/>
      <c r="Q5" s="86"/>
      <c r="R5" s="86"/>
      <c r="S5" s="86"/>
      <c r="T5" s="86"/>
      <c r="U5" s="86"/>
      <c r="V5" s="86"/>
      <c r="W5" s="86"/>
      <c r="X5" s="86"/>
      <c r="Y5" s="86"/>
      <c r="Z5" s="86"/>
    </row>
    <row r="6" spans="1:201" s="5" customFormat="1" ht="9" customHeight="1">
      <c r="B6" s="68" t="str">
        <f>names!$A627</f>
        <v>AKTYWA</v>
      </c>
      <c r="C6" s="67"/>
      <c r="D6" s="67"/>
      <c r="E6" s="67"/>
      <c r="F6" s="218"/>
      <c r="G6" s="67"/>
      <c r="H6" s="67"/>
      <c r="I6" s="67"/>
      <c r="J6" s="218"/>
      <c r="K6" s="67"/>
      <c r="L6" s="67"/>
      <c r="M6" s="67"/>
      <c r="N6" s="218"/>
      <c r="O6" s="67"/>
      <c r="P6" s="67"/>
      <c r="Q6" s="67"/>
      <c r="R6" s="218"/>
      <c r="S6" s="67"/>
      <c r="T6" s="67"/>
      <c r="U6" s="67"/>
      <c r="V6" s="218"/>
      <c r="W6" s="67"/>
      <c r="X6" s="67"/>
      <c r="Y6" s="67"/>
      <c r="Z6" s="218"/>
    </row>
    <row r="7" spans="1:201" s="5" customFormat="1" ht="11.25">
      <c r="B7" s="2" t="str">
        <f>names!$A628</f>
        <v>Rzeczowe aktywa trwałe</v>
      </c>
      <c r="C7" s="170">
        <v>31130</v>
      </c>
      <c r="D7" s="170">
        <v>31249</v>
      </c>
      <c r="E7" s="170">
        <v>31788</v>
      </c>
      <c r="F7" s="219">
        <v>32363</v>
      </c>
      <c r="G7" s="170">
        <v>32090</v>
      </c>
      <c r="H7" s="170">
        <v>47242</v>
      </c>
      <c r="I7" s="170">
        <v>48020</v>
      </c>
      <c r="J7" s="219">
        <v>49625</v>
      </c>
      <c r="K7" s="170">
        <v>50440</v>
      </c>
      <c r="L7" s="170">
        <v>51431</v>
      </c>
      <c r="M7" s="170">
        <v>52705</v>
      </c>
      <c r="N7" s="219">
        <v>55379</v>
      </c>
      <c r="O7" s="170">
        <v>57133</v>
      </c>
      <c r="P7" s="170">
        <v>56645</v>
      </c>
      <c r="Q7" s="170">
        <v>64176</v>
      </c>
      <c r="R7" s="219">
        <v>136383</v>
      </c>
      <c r="S7" s="170">
        <v>119951</v>
      </c>
      <c r="T7" s="170">
        <v>122079</v>
      </c>
      <c r="U7" s="170">
        <v>128919</v>
      </c>
      <c r="V7" s="219">
        <v>135191</v>
      </c>
      <c r="W7" s="170">
        <v>137478</v>
      </c>
      <c r="X7" s="170">
        <v>141871</v>
      </c>
      <c r="Y7" s="170">
        <v>141024</v>
      </c>
      <c r="Z7" s="219">
        <v>141714</v>
      </c>
    </row>
    <row r="8" spans="1:201" s="5" customFormat="1" ht="11.25">
      <c r="B8" s="2" t="str">
        <f>names!$A629</f>
        <v>Wartości niematerialne oraz wartość firmy</v>
      </c>
      <c r="C8" s="170">
        <v>1992</v>
      </c>
      <c r="D8" s="170">
        <v>1281</v>
      </c>
      <c r="E8" s="170">
        <v>1352</v>
      </c>
      <c r="F8" s="219">
        <v>1600</v>
      </c>
      <c r="G8" s="170">
        <v>2308</v>
      </c>
      <c r="H8" s="170">
        <v>2317</v>
      </c>
      <c r="I8" s="170">
        <v>2531</v>
      </c>
      <c r="J8" s="219">
        <v>2515</v>
      </c>
      <c r="K8" s="170">
        <v>3947</v>
      </c>
      <c r="L8" s="170">
        <v>2833</v>
      </c>
      <c r="M8" s="170">
        <v>3233</v>
      </c>
      <c r="N8" s="219">
        <v>4829</v>
      </c>
      <c r="O8" s="170">
        <v>7280</v>
      </c>
      <c r="P8" s="170">
        <v>4103</v>
      </c>
      <c r="Q8" s="170">
        <v>5290</v>
      </c>
      <c r="R8" s="219">
        <v>11192</v>
      </c>
      <c r="S8" s="170">
        <v>15434</v>
      </c>
      <c r="T8" s="170">
        <v>11758</v>
      </c>
      <c r="U8" s="170">
        <v>13875</v>
      </c>
      <c r="V8" s="219">
        <v>13830</v>
      </c>
      <c r="W8" s="170">
        <v>16284</v>
      </c>
      <c r="X8" s="170">
        <v>14822</v>
      </c>
      <c r="Y8" s="170">
        <v>11265</v>
      </c>
      <c r="Z8" s="219">
        <v>11289</v>
      </c>
    </row>
    <row r="9" spans="1:201" s="5" customFormat="1" ht="11.25">
      <c r="B9" s="2" t="str">
        <f>names!$A630</f>
        <v>Aktywa z tytułu praw do użytkowania</v>
      </c>
      <c r="C9" s="170">
        <v>3684</v>
      </c>
      <c r="D9" s="170">
        <v>3606</v>
      </c>
      <c r="E9" s="170">
        <v>3692</v>
      </c>
      <c r="F9" s="219">
        <v>3952</v>
      </c>
      <c r="G9" s="170">
        <v>4198</v>
      </c>
      <c r="H9" s="170">
        <v>4889</v>
      </c>
      <c r="I9" s="170">
        <v>4887</v>
      </c>
      <c r="J9" s="219">
        <v>5252</v>
      </c>
      <c r="K9" s="170">
        <v>5355</v>
      </c>
      <c r="L9" s="170">
        <v>5417</v>
      </c>
      <c r="M9" s="170">
        <v>5583</v>
      </c>
      <c r="N9" s="219">
        <v>5586</v>
      </c>
      <c r="O9" s="170">
        <v>5803</v>
      </c>
      <c r="P9" s="170">
        <v>5533</v>
      </c>
      <c r="Q9" s="170">
        <v>6598</v>
      </c>
      <c r="R9" s="219">
        <v>12438</v>
      </c>
      <c r="S9" s="170">
        <v>10906</v>
      </c>
      <c r="T9" s="170">
        <v>11258</v>
      </c>
      <c r="U9" s="170">
        <v>11041</v>
      </c>
      <c r="V9" s="219">
        <v>13486</v>
      </c>
      <c r="W9" s="170">
        <v>13931</v>
      </c>
      <c r="X9" s="170">
        <v>13892</v>
      </c>
      <c r="Y9" s="170">
        <v>13683</v>
      </c>
      <c r="Z9" s="219">
        <v>13929</v>
      </c>
    </row>
    <row r="10" spans="1:201" s="5" customFormat="1" ht="11.25">
      <c r="B10" s="2" t="str">
        <f>names!$A631</f>
        <v>Inwestycje wyceniane metodą praw własności</v>
      </c>
      <c r="C10" s="170">
        <v>694</v>
      </c>
      <c r="D10" s="170">
        <v>625</v>
      </c>
      <c r="E10" s="170">
        <v>660</v>
      </c>
      <c r="F10" s="219">
        <v>678</v>
      </c>
      <c r="G10" s="170">
        <v>690</v>
      </c>
      <c r="H10" s="170">
        <v>744</v>
      </c>
      <c r="I10" s="170">
        <v>781</v>
      </c>
      <c r="J10" s="219">
        <v>758</v>
      </c>
      <c r="K10" s="170">
        <v>1108</v>
      </c>
      <c r="L10" s="170">
        <v>1066</v>
      </c>
      <c r="M10" s="170">
        <v>1167</v>
      </c>
      <c r="N10" s="219">
        <v>1125</v>
      </c>
      <c r="O10" s="170">
        <v>1239</v>
      </c>
      <c r="P10" s="170">
        <v>1161</v>
      </c>
      <c r="Q10" s="170">
        <v>1456</v>
      </c>
      <c r="R10" s="219">
        <v>3390</v>
      </c>
      <c r="S10" s="170">
        <v>3986</v>
      </c>
      <c r="T10" s="170">
        <v>3804</v>
      </c>
      <c r="U10" s="170">
        <v>3519</v>
      </c>
      <c r="V10" s="219">
        <v>2170</v>
      </c>
      <c r="W10" s="170">
        <v>2136</v>
      </c>
      <c r="X10" s="170">
        <v>2326</v>
      </c>
      <c r="Y10" s="170">
        <v>2032</v>
      </c>
      <c r="Z10" s="219">
        <v>1969</v>
      </c>
    </row>
    <row r="11" spans="1:201" s="5" customFormat="1" ht="11.25">
      <c r="B11" s="2" t="str">
        <f>names!$A632</f>
        <v>Aktywa z tytułu podatku odroczonego</v>
      </c>
      <c r="C11" s="170">
        <v>62</v>
      </c>
      <c r="D11" s="170">
        <v>48</v>
      </c>
      <c r="E11" s="170">
        <v>40</v>
      </c>
      <c r="F11" s="219">
        <v>51</v>
      </c>
      <c r="G11" s="170">
        <v>184</v>
      </c>
      <c r="H11" s="170">
        <v>578</v>
      </c>
      <c r="I11" s="170">
        <v>600</v>
      </c>
      <c r="J11" s="219">
        <v>685</v>
      </c>
      <c r="K11" s="170">
        <v>761</v>
      </c>
      <c r="L11" s="170">
        <v>747</v>
      </c>
      <c r="M11" s="170">
        <v>774</v>
      </c>
      <c r="N11" s="219">
        <v>718</v>
      </c>
      <c r="O11" s="170">
        <v>656</v>
      </c>
      <c r="P11" s="170">
        <v>660</v>
      </c>
      <c r="Q11" s="170">
        <v>808</v>
      </c>
      <c r="R11" s="219">
        <v>3537</v>
      </c>
      <c r="S11" s="170">
        <v>3015</v>
      </c>
      <c r="T11" s="170">
        <v>1218</v>
      </c>
      <c r="U11" s="170">
        <v>982</v>
      </c>
      <c r="V11" s="219">
        <v>1017</v>
      </c>
      <c r="W11" s="170">
        <v>1722</v>
      </c>
      <c r="X11" s="170">
        <v>1589</v>
      </c>
      <c r="Y11" s="170">
        <v>1578</v>
      </c>
      <c r="Z11" s="219">
        <v>2048</v>
      </c>
    </row>
    <row r="12" spans="1:201" s="5" customFormat="1" ht="11.25">
      <c r="B12" s="2" t="str">
        <f>names!$A633</f>
        <v>Zapasy obowiązkowe</v>
      </c>
      <c r="C12" s="170">
        <v>0</v>
      </c>
      <c r="D12" s="170">
        <v>0</v>
      </c>
      <c r="E12" s="170">
        <v>0</v>
      </c>
      <c r="F12" s="219">
        <v>0</v>
      </c>
      <c r="G12" s="170">
        <v>0</v>
      </c>
      <c r="H12" s="170">
        <v>0</v>
      </c>
      <c r="I12" s="170">
        <v>0</v>
      </c>
      <c r="J12" s="219">
        <v>0</v>
      </c>
      <c r="K12" s="170">
        <v>0</v>
      </c>
      <c r="L12" s="170">
        <v>0</v>
      </c>
      <c r="M12" s="170">
        <v>0</v>
      </c>
      <c r="N12" s="219">
        <v>0</v>
      </c>
      <c r="O12" s="170">
        <v>0</v>
      </c>
      <c r="P12" s="170">
        <v>0</v>
      </c>
      <c r="Q12" s="170">
        <v>0</v>
      </c>
      <c r="R12" s="219">
        <v>0</v>
      </c>
      <c r="S12" s="170">
        <v>0</v>
      </c>
      <c r="T12" s="170">
        <v>0</v>
      </c>
      <c r="U12" s="170">
        <v>0</v>
      </c>
      <c r="V12" s="219">
        <v>10258</v>
      </c>
      <c r="W12" s="170">
        <v>0</v>
      </c>
      <c r="X12" s="170">
        <v>0</v>
      </c>
      <c r="Y12" s="170">
        <v>0</v>
      </c>
      <c r="Z12" s="219">
        <v>11033</v>
      </c>
    </row>
    <row r="13" spans="1:201" s="5" customFormat="1" ht="11.25">
      <c r="B13" s="3" t="str">
        <f>names!$A634</f>
        <v>Instrumenty pochodne</v>
      </c>
      <c r="C13" s="170">
        <v>150</v>
      </c>
      <c r="D13" s="170">
        <v>254</v>
      </c>
      <c r="E13" s="170">
        <v>52</v>
      </c>
      <c r="F13" s="219">
        <v>310</v>
      </c>
      <c r="G13" s="170">
        <v>5</v>
      </c>
      <c r="H13" s="170">
        <v>199</v>
      </c>
      <c r="I13" s="170">
        <v>81</v>
      </c>
      <c r="J13" s="219">
        <v>179</v>
      </c>
      <c r="K13" s="170">
        <v>226</v>
      </c>
      <c r="L13" s="170">
        <v>343</v>
      </c>
      <c r="M13" s="170">
        <v>416</v>
      </c>
      <c r="N13" s="219">
        <v>343</v>
      </c>
      <c r="O13" s="170">
        <v>459</v>
      </c>
      <c r="P13" s="170">
        <v>401</v>
      </c>
      <c r="Q13" s="170">
        <v>719</v>
      </c>
      <c r="R13" s="219">
        <v>1572</v>
      </c>
      <c r="S13" s="170">
        <v>1452</v>
      </c>
      <c r="T13" s="170">
        <v>1777</v>
      </c>
      <c r="U13" s="170">
        <v>1597</v>
      </c>
      <c r="V13" s="219">
        <v>1682</v>
      </c>
      <c r="W13" s="170">
        <v>1655</v>
      </c>
      <c r="X13" s="170">
        <v>1759</v>
      </c>
      <c r="Y13" s="170">
        <v>1703</v>
      </c>
      <c r="Z13" s="219">
        <v>1489</v>
      </c>
    </row>
    <row r="14" spans="1:201" s="5" customFormat="1" ht="11.25">
      <c r="B14" s="2" t="str">
        <f>names!$A635</f>
        <v>Należności długoterminowe z tytułu leasingu</v>
      </c>
      <c r="C14" s="170">
        <v>21</v>
      </c>
      <c r="D14" s="170">
        <v>18</v>
      </c>
      <c r="E14" s="170">
        <v>15</v>
      </c>
      <c r="F14" s="219">
        <v>13</v>
      </c>
      <c r="G14" s="170">
        <v>10</v>
      </c>
      <c r="H14" s="170">
        <v>7</v>
      </c>
      <c r="I14" s="170">
        <v>4</v>
      </c>
      <c r="J14" s="219">
        <v>2</v>
      </c>
      <c r="K14" s="170">
        <v>2</v>
      </c>
      <c r="L14" s="170">
        <v>2</v>
      </c>
      <c r="M14" s="170">
        <v>1</v>
      </c>
      <c r="N14" s="219">
        <v>0</v>
      </c>
      <c r="O14" s="170">
        <v>0</v>
      </c>
      <c r="P14" s="170">
        <v>0</v>
      </c>
      <c r="Q14" s="170">
        <v>0</v>
      </c>
      <c r="R14" s="219">
        <v>0</v>
      </c>
      <c r="S14" s="170">
        <v>0</v>
      </c>
      <c r="T14" s="170">
        <v>0</v>
      </c>
      <c r="U14" s="170">
        <v>0</v>
      </c>
      <c r="V14" s="219">
        <v>0</v>
      </c>
      <c r="W14" s="170">
        <v>0</v>
      </c>
      <c r="X14" s="170">
        <v>0</v>
      </c>
      <c r="Y14" s="170">
        <v>0</v>
      </c>
      <c r="Z14" s="219">
        <v>0</v>
      </c>
    </row>
    <row r="15" spans="1:201" s="5" customFormat="1" ht="11.25">
      <c r="B15" s="2" t="str">
        <f>names!$A636</f>
        <v>Pozostałe aktywa</v>
      </c>
      <c r="C15" s="170">
        <v>213</v>
      </c>
      <c r="D15" s="170">
        <v>194</v>
      </c>
      <c r="E15" s="170">
        <v>201</v>
      </c>
      <c r="F15" s="219">
        <v>310</v>
      </c>
      <c r="G15" s="170">
        <v>313</v>
      </c>
      <c r="H15" s="170">
        <v>382</v>
      </c>
      <c r="I15" s="170">
        <v>410</v>
      </c>
      <c r="J15" s="219">
        <f>419-2</f>
        <v>417</v>
      </c>
      <c r="K15" s="170">
        <v>438</v>
      </c>
      <c r="L15" s="170">
        <v>523</v>
      </c>
      <c r="M15" s="170">
        <v>572</v>
      </c>
      <c r="N15" s="219">
        <v>726</v>
      </c>
      <c r="O15" s="170">
        <v>926</v>
      </c>
      <c r="P15" s="170">
        <v>1177</v>
      </c>
      <c r="Q15" s="170">
        <v>2369</v>
      </c>
      <c r="R15" s="219">
        <v>5867</v>
      </c>
      <c r="S15" s="170">
        <v>3619</v>
      </c>
      <c r="T15" s="170">
        <v>3757</v>
      </c>
      <c r="U15" s="170">
        <v>4541</v>
      </c>
      <c r="V15" s="219">
        <v>3631</v>
      </c>
      <c r="W15" s="170">
        <v>3370</v>
      </c>
      <c r="X15" s="170">
        <v>3746</v>
      </c>
      <c r="Y15" s="170">
        <v>3781</v>
      </c>
      <c r="Z15" s="219">
        <v>3290</v>
      </c>
    </row>
    <row r="16" spans="1:201" s="5" customFormat="1" ht="11.25">
      <c r="B16" s="71" t="str">
        <f>names!$A637</f>
        <v>Aktywa trwałe</v>
      </c>
      <c r="C16" s="171">
        <v>37946</v>
      </c>
      <c r="D16" s="171">
        <v>37275</v>
      </c>
      <c r="E16" s="171">
        <v>37800</v>
      </c>
      <c r="F16" s="220">
        <v>39277</v>
      </c>
      <c r="G16" s="171">
        <v>39798</v>
      </c>
      <c r="H16" s="171">
        <v>56358</v>
      </c>
      <c r="I16" s="171">
        <v>57314</v>
      </c>
      <c r="J16" s="220">
        <v>59433</v>
      </c>
      <c r="K16" s="171">
        <v>62277</v>
      </c>
      <c r="L16" s="171">
        <v>62362</v>
      </c>
      <c r="M16" s="171">
        <v>64451</v>
      </c>
      <c r="N16" s="220">
        <v>68706</v>
      </c>
      <c r="O16" s="171">
        <v>73496</v>
      </c>
      <c r="P16" s="171">
        <v>69680</v>
      </c>
      <c r="Q16" s="171">
        <v>81416</v>
      </c>
      <c r="R16" s="220">
        <v>174379</v>
      </c>
      <c r="S16" s="171">
        <v>158363</v>
      </c>
      <c r="T16" s="171">
        <v>155651</v>
      </c>
      <c r="U16" s="171">
        <v>164474</v>
      </c>
      <c r="V16" s="220">
        <v>181265</v>
      </c>
      <c r="W16" s="171">
        <v>176576</v>
      </c>
      <c r="X16" s="171">
        <v>180005</v>
      </c>
      <c r="Y16" s="171">
        <v>175066</v>
      </c>
      <c r="Z16" s="220">
        <v>186761</v>
      </c>
    </row>
    <row r="17" spans="2:26" s="5" customFormat="1" ht="11.25">
      <c r="B17" s="2" t="str">
        <f>names!$A638</f>
        <v>Zapasy</v>
      </c>
      <c r="C17" s="170">
        <v>15337</v>
      </c>
      <c r="D17" s="170">
        <v>14554</v>
      </c>
      <c r="E17" s="170">
        <v>14698</v>
      </c>
      <c r="F17" s="219">
        <v>15074</v>
      </c>
      <c r="G17" s="170">
        <v>12172</v>
      </c>
      <c r="H17" s="170">
        <v>12058</v>
      </c>
      <c r="I17" s="170">
        <v>12216</v>
      </c>
      <c r="J17" s="219">
        <v>12279</v>
      </c>
      <c r="K17" s="170">
        <v>14385</v>
      </c>
      <c r="L17" s="170">
        <v>14794</v>
      </c>
      <c r="M17" s="170">
        <v>16119</v>
      </c>
      <c r="N17" s="219">
        <v>18410</v>
      </c>
      <c r="O17" s="170">
        <v>23586</v>
      </c>
      <c r="P17" s="170">
        <v>26630</v>
      </c>
      <c r="Q17" s="170">
        <v>32791</v>
      </c>
      <c r="R17" s="219">
        <v>44304</v>
      </c>
      <c r="S17" s="170">
        <v>35550</v>
      </c>
      <c r="T17" s="170">
        <v>31614</v>
      </c>
      <c r="U17" s="170">
        <v>35995</v>
      </c>
      <c r="V17" s="219">
        <v>22536</v>
      </c>
      <c r="W17" s="170">
        <v>30780</v>
      </c>
      <c r="X17" s="170">
        <v>32078</v>
      </c>
      <c r="Y17" s="170">
        <v>32453</v>
      </c>
      <c r="Z17" s="219">
        <v>21162</v>
      </c>
    </row>
    <row r="18" spans="2:26" s="5" customFormat="1" ht="11.25">
      <c r="B18" s="2" t="str">
        <f>names!$A639</f>
        <v>Należności z tytułu dostaw i usług oraz pozostałe należności</v>
      </c>
      <c r="C18" s="170">
        <v>11440</v>
      </c>
      <c r="D18" s="170">
        <v>11771</v>
      </c>
      <c r="E18" s="170">
        <v>11336</v>
      </c>
      <c r="F18" s="219">
        <v>9669</v>
      </c>
      <c r="G18" s="170">
        <v>8262</v>
      </c>
      <c r="H18" s="170">
        <v>9157</v>
      </c>
      <c r="I18" s="170">
        <v>10145</v>
      </c>
      <c r="J18" s="219">
        <v>9640</v>
      </c>
      <c r="K18" s="170">
        <v>11533</v>
      </c>
      <c r="L18" s="170">
        <v>13440</v>
      </c>
      <c r="M18" s="170">
        <v>14955</v>
      </c>
      <c r="N18" s="219">
        <v>15041</v>
      </c>
      <c r="O18" s="170">
        <v>20097</v>
      </c>
      <c r="P18" s="170">
        <v>19400</v>
      </c>
      <c r="Q18" s="170">
        <v>29549</v>
      </c>
      <c r="R18" s="219">
        <v>37934</v>
      </c>
      <c r="S18" s="170">
        <v>45709</v>
      </c>
      <c r="T18" s="170">
        <v>33780</v>
      </c>
      <c r="U18" s="170">
        <v>34622</v>
      </c>
      <c r="V18" s="219">
        <v>39722</v>
      </c>
      <c r="W18" s="170">
        <v>37380</v>
      </c>
      <c r="X18" s="170">
        <v>31740</v>
      </c>
      <c r="Y18" s="170">
        <v>29909</v>
      </c>
      <c r="Z18" s="219">
        <v>31897</v>
      </c>
    </row>
    <row r="19" spans="2:26" s="5" customFormat="1" ht="11.25">
      <c r="B19" s="2" t="str">
        <f>names!$A640</f>
        <v>Należności z tytułu podatku dochodowego</v>
      </c>
      <c r="C19" s="170">
        <v>182</v>
      </c>
      <c r="D19" s="170">
        <v>247</v>
      </c>
      <c r="E19" s="170">
        <v>215</v>
      </c>
      <c r="F19" s="219">
        <v>262</v>
      </c>
      <c r="G19" s="170">
        <v>342</v>
      </c>
      <c r="H19" s="170">
        <v>647</v>
      </c>
      <c r="I19" s="170">
        <v>534</v>
      </c>
      <c r="J19" s="219">
        <v>449</v>
      </c>
      <c r="K19" s="170">
        <v>475</v>
      </c>
      <c r="L19" s="170">
        <v>411</v>
      </c>
      <c r="M19" s="170">
        <v>255</v>
      </c>
      <c r="N19" s="219">
        <v>129</v>
      </c>
      <c r="O19" s="170">
        <v>95</v>
      </c>
      <c r="P19" s="170">
        <v>190</v>
      </c>
      <c r="Q19" s="170">
        <v>194</v>
      </c>
      <c r="R19" s="219">
        <v>1036</v>
      </c>
      <c r="S19" s="170">
        <v>924</v>
      </c>
      <c r="T19" s="170">
        <v>1304</v>
      </c>
      <c r="U19" s="170">
        <v>1937</v>
      </c>
      <c r="V19" s="219">
        <v>1417</v>
      </c>
      <c r="W19" s="170">
        <v>1569</v>
      </c>
      <c r="X19" s="170">
        <v>1252</v>
      </c>
      <c r="Y19" s="170">
        <v>767</v>
      </c>
      <c r="Z19" s="219">
        <v>786</v>
      </c>
    </row>
    <row r="20" spans="2:26" s="5" customFormat="1" ht="11.25">
      <c r="B20" s="2" t="str">
        <f>names!$A641</f>
        <v>Środki pieniężne</v>
      </c>
      <c r="C20" s="170">
        <v>3665</v>
      </c>
      <c r="D20" s="170">
        <v>6168</v>
      </c>
      <c r="E20" s="170">
        <v>6813</v>
      </c>
      <c r="F20" s="219">
        <v>6159</v>
      </c>
      <c r="G20" s="170">
        <v>5104</v>
      </c>
      <c r="H20" s="170">
        <v>3169</v>
      </c>
      <c r="I20" s="170">
        <v>1111</v>
      </c>
      <c r="J20" s="219">
        <v>1240</v>
      </c>
      <c r="K20" s="170">
        <v>2003</v>
      </c>
      <c r="L20" s="170">
        <v>2775</v>
      </c>
      <c r="M20" s="170">
        <v>2958</v>
      </c>
      <c r="N20" s="219">
        <v>2896</v>
      </c>
      <c r="O20" s="170">
        <v>3069</v>
      </c>
      <c r="P20" s="170">
        <v>3046</v>
      </c>
      <c r="Q20" s="170">
        <v>11455</v>
      </c>
      <c r="R20" s="219">
        <v>21046</v>
      </c>
      <c r="S20" s="170">
        <v>28683</v>
      </c>
      <c r="T20" s="170">
        <v>23501</v>
      </c>
      <c r="U20" s="170">
        <v>13607</v>
      </c>
      <c r="V20" s="219">
        <v>13282</v>
      </c>
      <c r="W20" s="170">
        <v>11414</v>
      </c>
      <c r="X20" s="170">
        <v>10432</v>
      </c>
      <c r="Y20" s="170">
        <v>10829</v>
      </c>
      <c r="Z20" s="219">
        <v>11042</v>
      </c>
    </row>
    <row r="21" spans="2:26" s="5" customFormat="1" ht="11.25">
      <c r="B21" s="2" t="str">
        <f>names!$A642</f>
        <v>Instrumenty pochodne</v>
      </c>
      <c r="C21" s="170">
        <v>306</v>
      </c>
      <c r="D21" s="170">
        <v>352</v>
      </c>
      <c r="E21" s="170">
        <v>374</v>
      </c>
      <c r="F21" s="219">
        <v>243</v>
      </c>
      <c r="G21" s="170">
        <v>1650</v>
      </c>
      <c r="H21" s="170">
        <v>198</v>
      </c>
      <c r="I21" s="170">
        <v>191</v>
      </c>
      <c r="J21" s="219">
        <v>440</v>
      </c>
      <c r="K21" s="170">
        <v>880</v>
      </c>
      <c r="L21" s="170">
        <v>1671</v>
      </c>
      <c r="M21" s="170">
        <v>1986</v>
      </c>
      <c r="N21" s="219">
        <v>1149</v>
      </c>
      <c r="O21" s="170">
        <v>538</v>
      </c>
      <c r="P21" s="170">
        <v>612</v>
      </c>
      <c r="Q21" s="170">
        <v>703</v>
      </c>
      <c r="R21" s="219">
        <v>3905</v>
      </c>
      <c r="S21" s="170">
        <v>2695</v>
      </c>
      <c r="T21" s="170">
        <v>2220</v>
      </c>
      <c r="U21" s="170">
        <v>1702</v>
      </c>
      <c r="V21" s="219">
        <v>2617</v>
      </c>
      <c r="W21" s="170">
        <v>1596</v>
      </c>
      <c r="X21" s="170">
        <v>1312</v>
      </c>
      <c r="Y21" s="170">
        <v>1300</v>
      </c>
      <c r="Z21" s="219">
        <v>1543</v>
      </c>
    </row>
    <row r="22" spans="2:26" s="5" customFormat="1" ht="11.25">
      <c r="B22" s="2" t="str">
        <f>names!$A643</f>
        <v>Należności krótkoterminowe z tytułu leasingu</v>
      </c>
      <c r="C22" s="170">
        <v>11</v>
      </c>
      <c r="D22" s="170">
        <v>11</v>
      </c>
      <c r="E22" s="170">
        <v>12</v>
      </c>
      <c r="F22" s="219">
        <v>12</v>
      </c>
      <c r="G22" s="170">
        <v>12</v>
      </c>
      <c r="H22" s="170">
        <v>12</v>
      </c>
      <c r="I22" s="170">
        <v>11</v>
      </c>
      <c r="J22" s="219">
        <v>11</v>
      </c>
      <c r="K22" s="170">
        <v>9</v>
      </c>
      <c r="L22" s="170">
        <v>6</v>
      </c>
      <c r="M22" s="170">
        <v>4</v>
      </c>
      <c r="N22" s="219">
        <v>0</v>
      </c>
      <c r="O22" s="170">
        <v>0</v>
      </c>
      <c r="P22" s="170">
        <v>0</v>
      </c>
      <c r="Q22" s="170">
        <v>0</v>
      </c>
      <c r="R22" s="219">
        <v>0</v>
      </c>
      <c r="S22" s="170">
        <v>0</v>
      </c>
      <c r="T22" s="170">
        <v>0</v>
      </c>
      <c r="U22" s="170">
        <v>0</v>
      </c>
      <c r="V22" s="219">
        <v>0</v>
      </c>
      <c r="W22" s="170">
        <v>0</v>
      </c>
      <c r="X22" s="170">
        <v>0</v>
      </c>
      <c r="Y22" s="170">
        <v>0</v>
      </c>
      <c r="Z22" s="219">
        <v>0</v>
      </c>
    </row>
    <row r="23" spans="2:26" s="5" customFormat="1" ht="11.25">
      <c r="B23" s="2" t="str">
        <f>names!$A644</f>
        <v>Pozostałe aktywa</v>
      </c>
      <c r="C23" s="170">
        <f>96-66</f>
        <v>30</v>
      </c>
      <c r="D23" s="170">
        <f>392-22</f>
        <v>370</v>
      </c>
      <c r="E23" s="170">
        <f>303-29</f>
        <v>274</v>
      </c>
      <c r="F23" s="219">
        <v>468</v>
      </c>
      <c r="G23" s="170">
        <v>985</v>
      </c>
      <c r="H23" s="170">
        <v>877</v>
      </c>
      <c r="I23" s="170">
        <v>662</v>
      </c>
      <c r="J23" s="219">
        <f>567-11-26</f>
        <v>530</v>
      </c>
      <c r="K23" s="170">
        <v>551</v>
      </c>
      <c r="L23" s="170">
        <v>501</v>
      </c>
      <c r="M23" s="170">
        <v>608</v>
      </c>
      <c r="N23" s="219">
        <v>423</v>
      </c>
      <c r="O23" s="170">
        <v>2125</v>
      </c>
      <c r="P23" s="170">
        <v>2582</v>
      </c>
      <c r="Q23" s="170">
        <v>5906</v>
      </c>
      <c r="R23" s="219">
        <v>30570</v>
      </c>
      <c r="S23" s="170">
        <v>8575</v>
      </c>
      <c r="T23" s="170">
        <v>3523</v>
      </c>
      <c r="U23" s="170">
        <v>3490</v>
      </c>
      <c r="V23" s="219">
        <v>3382</v>
      </c>
      <c r="W23" s="170">
        <v>3644</v>
      </c>
      <c r="X23" s="170">
        <v>2636</v>
      </c>
      <c r="Y23" s="170">
        <v>2435</v>
      </c>
      <c r="Z23" s="219">
        <v>2025</v>
      </c>
    </row>
    <row r="24" spans="2:26" s="5" customFormat="1" ht="11.25">
      <c r="B24" s="3" t="str">
        <f>names!$A645</f>
        <v>Aktywa przeznaczone do sprzedaży</v>
      </c>
      <c r="C24" s="170">
        <v>66</v>
      </c>
      <c r="D24" s="170">
        <v>22</v>
      </c>
      <c r="E24" s="170">
        <v>29</v>
      </c>
      <c r="F24" s="219">
        <v>38</v>
      </c>
      <c r="G24" s="170">
        <v>36</v>
      </c>
      <c r="H24" s="170">
        <v>32</v>
      </c>
      <c r="I24" s="170">
        <v>43</v>
      </c>
      <c r="J24" s="219">
        <v>26</v>
      </c>
      <c r="K24" s="170">
        <v>7</v>
      </c>
      <c r="L24" s="170">
        <v>4</v>
      </c>
      <c r="M24" s="170">
        <v>5</v>
      </c>
      <c r="N24" s="219">
        <v>0</v>
      </c>
      <c r="O24" s="170">
        <v>0</v>
      </c>
      <c r="P24" s="170">
        <v>0</v>
      </c>
      <c r="Q24" s="170">
        <v>6906</v>
      </c>
      <c r="R24" s="219">
        <v>3</v>
      </c>
      <c r="S24" s="170">
        <v>23</v>
      </c>
      <c r="T24" s="170">
        <v>47</v>
      </c>
      <c r="U24" s="170">
        <v>10</v>
      </c>
      <c r="V24" s="219">
        <v>242</v>
      </c>
      <c r="W24" s="170">
        <v>244</v>
      </c>
      <c r="X24" s="170">
        <v>244</v>
      </c>
      <c r="Y24" s="170">
        <v>145</v>
      </c>
      <c r="Z24" s="219">
        <v>152</v>
      </c>
    </row>
    <row r="25" spans="2:26" s="5" customFormat="1" ht="12" thickBot="1">
      <c r="B25" s="90" t="str">
        <f>names!$A646</f>
        <v>Aktywa obrotowe</v>
      </c>
      <c r="C25" s="172">
        <v>31037</v>
      </c>
      <c r="D25" s="172">
        <v>33495</v>
      </c>
      <c r="E25" s="172">
        <v>33751</v>
      </c>
      <c r="F25" s="221">
        <v>31925</v>
      </c>
      <c r="G25" s="172">
        <v>28563</v>
      </c>
      <c r="H25" s="172">
        <v>26150</v>
      </c>
      <c r="I25" s="172">
        <v>24913</v>
      </c>
      <c r="J25" s="221">
        <v>24615</v>
      </c>
      <c r="K25" s="172">
        <v>29843</v>
      </c>
      <c r="L25" s="172">
        <v>33602</v>
      </c>
      <c r="M25" s="172">
        <v>36890</v>
      </c>
      <c r="N25" s="221">
        <v>38048</v>
      </c>
      <c r="O25" s="172">
        <v>49510</v>
      </c>
      <c r="P25" s="172">
        <v>52460</v>
      </c>
      <c r="Q25" s="172">
        <v>87504</v>
      </c>
      <c r="R25" s="221">
        <v>138798</v>
      </c>
      <c r="S25" s="172">
        <v>122159</v>
      </c>
      <c r="T25" s="172">
        <v>95989</v>
      </c>
      <c r="U25" s="172">
        <v>91363</v>
      </c>
      <c r="V25" s="221">
        <v>83198</v>
      </c>
      <c r="W25" s="172">
        <v>86627</v>
      </c>
      <c r="X25" s="172">
        <v>79694</v>
      </c>
      <c r="Y25" s="172">
        <v>77838</v>
      </c>
      <c r="Z25" s="221">
        <v>68607</v>
      </c>
    </row>
    <row r="26" spans="2:26" s="5" customFormat="1" thickBot="1">
      <c r="B26" s="84" t="str">
        <f>names!$A647</f>
        <v>Aktywa razem</v>
      </c>
      <c r="C26" s="166">
        <v>68983</v>
      </c>
      <c r="D26" s="166">
        <v>70770</v>
      </c>
      <c r="E26" s="166">
        <v>71551</v>
      </c>
      <c r="F26" s="222">
        <v>71202</v>
      </c>
      <c r="G26" s="166">
        <v>68361</v>
      </c>
      <c r="H26" s="166">
        <v>82508</v>
      </c>
      <c r="I26" s="166">
        <v>82227</v>
      </c>
      <c r="J26" s="222">
        <v>84048</v>
      </c>
      <c r="K26" s="166">
        <v>92120</v>
      </c>
      <c r="L26" s="166">
        <v>95964</v>
      </c>
      <c r="M26" s="166">
        <v>101341</v>
      </c>
      <c r="N26" s="222">
        <v>106754</v>
      </c>
      <c r="O26" s="166">
        <v>123006</v>
      </c>
      <c r="P26" s="166">
        <v>122140</v>
      </c>
      <c r="Q26" s="166">
        <v>168920</v>
      </c>
      <c r="R26" s="222">
        <v>313177</v>
      </c>
      <c r="S26" s="166">
        <v>280522</v>
      </c>
      <c r="T26" s="166">
        <v>251640</v>
      </c>
      <c r="U26" s="166">
        <v>255837</v>
      </c>
      <c r="V26" s="222">
        <v>264463</v>
      </c>
      <c r="W26" s="166">
        <v>263203</v>
      </c>
      <c r="X26" s="166">
        <v>259699</v>
      </c>
      <c r="Y26" s="166">
        <v>252904</v>
      </c>
      <c r="Z26" s="222">
        <v>255368</v>
      </c>
    </row>
    <row r="27" spans="2:26" s="5" customFormat="1" ht="11.25">
      <c r="B27" s="68" t="str">
        <f>names!$A648</f>
        <v>PASYWA</v>
      </c>
      <c r="C27" s="173"/>
      <c r="D27" s="173"/>
      <c r="E27" s="173"/>
      <c r="F27" s="223"/>
      <c r="G27" s="173"/>
      <c r="H27" s="173"/>
      <c r="I27" s="173"/>
      <c r="J27" s="223"/>
      <c r="K27" s="173"/>
      <c r="L27" s="173"/>
      <c r="M27" s="173"/>
      <c r="N27" s="223"/>
      <c r="O27" s="173"/>
      <c r="P27" s="173"/>
      <c r="Q27" s="173"/>
      <c r="R27" s="223"/>
      <c r="S27" s="173"/>
      <c r="T27" s="173"/>
      <c r="U27" s="173"/>
      <c r="V27" s="223"/>
      <c r="W27" s="173"/>
      <c r="X27" s="173"/>
      <c r="Y27" s="173"/>
      <c r="Z27" s="223"/>
    </row>
    <row r="28" spans="2:26" s="5" customFormat="1" ht="11.25">
      <c r="B28" s="68" t="str">
        <f>names!$A649</f>
        <v>KAPITAŁ WŁASNY</v>
      </c>
      <c r="C28" s="173"/>
      <c r="D28" s="173"/>
      <c r="E28" s="173"/>
      <c r="F28" s="223"/>
      <c r="G28" s="173"/>
      <c r="H28" s="173"/>
      <c r="I28" s="173"/>
      <c r="J28" s="223"/>
      <c r="K28" s="173"/>
      <c r="L28" s="173"/>
      <c r="M28" s="173"/>
      <c r="N28" s="223"/>
      <c r="O28" s="173"/>
      <c r="P28" s="173"/>
      <c r="Q28" s="173"/>
      <c r="R28" s="223"/>
      <c r="S28" s="173"/>
      <c r="T28" s="173"/>
      <c r="U28" s="173"/>
      <c r="V28" s="223"/>
      <c r="W28" s="173"/>
      <c r="X28" s="173"/>
      <c r="Y28" s="173"/>
      <c r="Z28" s="223"/>
    </row>
    <row r="29" spans="2:26" s="5" customFormat="1" ht="11.25">
      <c r="B29" s="2" t="str">
        <f>names!$A650</f>
        <v>Kapitał podstawowy</v>
      </c>
      <c r="C29" s="170">
        <v>1058</v>
      </c>
      <c r="D29" s="170">
        <v>1058</v>
      </c>
      <c r="E29" s="170">
        <v>1058</v>
      </c>
      <c r="F29" s="219">
        <v>1058</v>
      </c>
      <c r="G29" s="170">
        <v>1058</v>
      </c>
      <c r="H29" s="170">
        <v>1058</v>
      </c>
      <c r="I29" s="170">
        <v>1058</v>
      </c>
      <c r="J29" s="219">
        <v>1058</v>
      </c>
      <c r="K29" s="170">
        <v>1058</v>
      </c>
      <c r="L29" s="170">
        <v>1058</v>
      </c>
      <c r="M29" s="170">
        <v>1058</v>
      </c>
      <c r="N29" s="219">
        <v>1058</v>
      </c>
      <c r="O29" s="170">
        <v>1058</v>
      </c>
      <c r="P29" s="170">
        <v>1058</v>
      </c>
      <c r="Q29" s="170">
        <v>1306</v>
      </c>
      <c r="R29" s="219">
        <v>1974</v>
      </c>
      <c r="S29" s="170">
        <v>1974</v>
      </c>
      <c r="T29" s="170">
        <v>1974</v>
      </c>
      <c r="U29" s="170">
        <v>1974</v>
      </c>
      <c r="V29" s="219">
        <v>1974</v>
      </c>
      <c r="W29" s="170">
        <v>1974</v>
      </c>
      <c r="X29" s="170">
        <v>1974</v>
      </c>
      <c r="Y29" s="170">
        <v>1974</v>
      </c>
      <c r="Z29" s="219">
        <v>1974</v>
      </c>
    </row>
    <row r="30" spans="2:26" s="5" customFormat="1" ht="11.25">
      <c r="B30" s="2" t="str">
        <f>names!$A651</f>
        <v>Kapitał z emisji akcji powyżej ich wartości nominalnej</v>
      </c>
      <c r="C30" s="170">
        <v>1227</v>
      </c>
      <c r="D30" s="170">
        <v>1227</v>
      </c>
      <c r="E30" s="170">
        <v>1227</v>
      </c>
      <c r="F30" s="219">
        <v>1227</v>
      </c>
      <c r="G30" s="170">
        <v>1227</v>
      </c>
      <c r="H30" s="170">
        <v>1227</v>
      </c>
      <c r="I30" s="170">
        <v>1227</v>
      </c>
      <c r="J30" s="219">
        <v>1227</v>
      </c>
      <c r="K30" s="170">
        <v>1227</v>
      </c>
      <c r="L30" s="170">
        <v>1227</v>
      </c>
      <c r="M30" s="170">
        <v>1227</v>
      </c>
      <c r="N30" s="219">
        <v>1227</v>
      </c>
      <c r="O30" s="170">
        <v>1227</v>
      </c>
      <c r="P30" s="170">
        <v>1227</v>
      </c>
      <c r="Q30" s="170">
        <v>16079</v>
      </c>
      <c r="R30" s="219">
        <v>46405</v>
      </c>
      <c r="S30" s="170">
        <v>46405</v>
      </c>
      <c r="T30" s="170">
        <v>46405</v>
      </c>
      <c r="U30" s="170">
        <v>46405</v>
      </c>
      <c r="V30" s="219">
        <v>46405</v>
      </c>
      <c r="W30" s="170">
        <v>46405</v>
      </c>
      <c r="X30" s="170">
        <v>46405</v>
      </c>
      <c r="Y30" s="170">
        <v>46405</v>
      </c>
      <c r="Z30" s="219">
        <v>46405</v>
      </c>
    </row>
    <row r="31" spans="2:26" s="5" customFormat="1" ht="11.25">
      <c r="B31" s="2" t="str">
        <f>names!$A652</f>
        <v>Inne składniki kapitału własnego</v>
      </c>
      <c r="C31" s="170">
        <v>0</v>
      </c>
      <c r="D31" s="170">
        <v>0</v>
      </c>
      <c r="E31" s="170">
        <v>0</v>
      </c>
      <c r="F31" s="219">
        <v>0</v>
      </c>
      <c r="G31" s="170">
        <v>0</v>
      </c>
      <c r="H31" s="170">
        <v>0</v>
      </c>
      <c r="I31" s="170">
        <v>0</v>
      </c>
      <c r="J31" s="219">
        <v>0</v>
      </c>
      <c r="K31" s="170">
        <v>0</v>
      </c>
      <c r="L31" s="170">
        <v>0</v>
      </c>
      <c r="M31" s="170">
        <v>0</v>
      </c>
      <c r="N31" s="219">
        <v>0</v>
      </c>
      <c r="O31" s="170">
        <v>0</v>
      </c>
      <c r="P31" s="170">
        <v>0</v>
      </c>
      <c r="Q31" s="170">
        <v>0</v>
      </c>
      <c r="R31" s="219">
        <v>-2</v>
      </c>
      <c r="S31" s="170">
        <v>-2</v>
      </c>
      <c r="T31" s="170">
        <v>-2</v>
      </c>
      <c r="U31" s="170">
        <v>-2</v>
      </c>
      <c r="V31" s="219">
        <v>-2</v>
      </c>
      <c r="W31" s="170">
        <v>-2</v>
      </c>
      <c r="X31" s="170">
        <v>0</v>
      </c>
      <c r="Y31" s="170">
        <v>0</v>
      </c>
      <c r="Z31" s="219">
        <v>0</v>
      </c>
    </row>
    <row r="32" spans="2:26" s="5" customFormat="1" ht="11.25">
      <c r="B32" s="2" t="str">
        <f>names!$A653</f>
        <v xml:space="preserve">Kapitał z tytułu stosowania rachunkowości zabezpieczeń </v>
      </c>
      <c r="C32" s="170">
        <v>129</v>
      </c>
      <c r="D32" s="170">
        <v>295</v>
      </c>
      <c r="E32" s="170">
        <v>171</v>
      </c>
      <c r="F32" s="219">
        <v>328</v>
      </c>
      <c r="G32" s="170">
        <v>120</v>
      </c>
      <c r="H32" s="170">
        <v>208</v>
      </c>
      <c r="I32" s="170">
        <v>-52</v>
      </c>
      <c r="J32" s="219">
        <v>-16</v>
      </c>
      <c r="K32" s="170">
        <v>-209</v>
      </c>
      <c r="L32" s="170">
        <v>254</v>
      </c>
      <c r="M32" s="170">
        <v>-174</v>
      </c>
      <c r="N32" s="219">
        <v>-430</v>
      </c>
      <c r="O32" s="170">
        <v>-793</v>
      </c>
      <c r="P32" s="170">
        <v>-705</v>
      </c>
      <c r="Q32" s="170">
        <v>-503</v>
      </c>
      <c r="R32" s="219">
        <v>5005</v>
      </c>
      <c r="S32" s="170">
        <v>9527</v>
      </c>
      <c r="T32" s="170">
        <v>10287</v>
      </c>
      <c r="U32" s="170">
        <v>9337</v>
      </c>
      <c r="V32" s="219">
        <v>3767</v>
      </c>
      <c r="W32" s="170">
        <v>2316</v>
      </c>
      <c r="X32" s="170">
        <v>2018</v>
      </c>
      <c r="Y32" s="170">
        <v>1717</v>
      </c>
      <c r="Z32" s="219">
        <v>1509</v>
      </c>
    </row>
    <row r="33" spans="2:26" s="5" customFormat="1" ht="11.25">
      <c r="B33" s="2" t="str">
        <f>names!$A654</f>
        <v>Kapitał z aktualizacji wyceny</v>
      </c>
      <c r="C33" s="170">
        <v>-22</v>
      </c>
      <c r="D33" s="170">
        <v>-31</v>
      </c>
      <c r="E33" s="170">
        <v>-32</v>
      </c>
      <c r="F33" s="219">
        <v>-33</v>
      </c>
      <c r="G33" s="170">
        <v>-44</v>
      </c>
      <c r="H33" s="170">
        <v>-38</v>
      </c>
      <c r="I33" s="170">
        <v>-39</v>
      </c>
      <c r="J33" s="219">
        <v>-37</v>
      </c>
      <c r="K33" s="170">
        <v>-34</v>
      </c>
      <c r="L33" s="170">
        <v>-33</v>
      </c>
      <c r="M33" s="170">
        <v>-31</v>
      </c>
      <c r="N33" s="219">
        <v>-20</v>
      </c>
      <c r="O33" s="170">
        <v>-15</v>
      </c>
      <c r="P33" s="170">
        <v>-14</v>
      </c>
      <c r="Q33" s="170">
        <v>-19</v>
      </c>
      <c r="R33" s="219">
        <v>-5</v>
      </c>
      <c r="S33" s="170">
        <v>-8</v>
      </c>
      <c r="T33" s="170">
        <v>-7</v>
      </c>
      <c r="U33" s="170">
        <v>-11</v>
      </c>
      <c r="V33" s="219">
        <v>-1</v>
      </c>
      <c r="W33" s="170">
        <v>14</v>
      </c>
      <c r="X33" s="170">
        <v>10</v>
      </c>
      <c r="Y33" s="170">
        <v>0</v>
      </c>
      <c r="Z33" s="219">
        <v>-7</v>
      </c>
    </row>
    <row r="34" spans="2:26" s="5" customFormat="1" ht="11.25">
      <c r="B34" s="2" t="str">
        <f>names!$A655</f>
        <v>Różnice kursowe z przeliczenia jednostek działających za granicą</v>
      </c>
      <c r="C34" s="170">
        <v>789</v>
      </c>
      <c r="D34" s="170">
        <v>744</v>
      </c>
      <c r="E34" s="170">
        <v>1189</v>
      </c>
      <c r="F34" s="219">
        <v>847</v>
      </c>
      <c r="G34" s="170">
        <v>1036</v>
      </c>
      <c r="H34" s="170">
        <v>922</v>
      </c>
      <c r="I34" s="170">
        <v>880</v>
      </c>
      <c r="J34" s="219">
        <v>1328</v>
      </c>
      <c r="K34" s="170">
        <v>1691</v>
      </c>
      <c r="L34" s="170">
        <v>1493</v>
      </c>
      <c r="M34" s="170">
        <v>1878</v>
      </c>
      <c r="N34" s="219">
        <v>2111</v>
      </c>
      <c r="O34" s="170">
        <v>2564</v>
      </c>
      <c r="P34" s="170">
        <v>2793</v>
      </c>
      <c r="Q34" s="170">
        <v>3722</v>
      </c>
      <c r="R34" s="219">
        <v>2701</v>
      </c>
      <c r="S34" s="170">
        <v>2463</v>
      </c>
      <c r="T34" s="170">
        <v>917</v>
      </c>
      <c r="U34" s="170">
        <v>1934</v>
      </c>
      <c r="V34" s="219">
        <v>-179</v>
      </c>
      <c r="W34" s="170">
        <v>-952</v>
      </c>
      <c r="X34" s="170">
        <v>-618</v>
      </c>
      <c r="Y34" s="170">
        <v>-1314</v>
      </c>
      <c r="Z34" s="219">
        <v>-1199</v>
      </c>
    </row>
    <row r="35" spans="2:26" s="5" customFormat="1" ht="11.25">
      <c r="B35" s="2" t="str">
        <f>names!$A656</f>
        <v>Zyski zatrzymane</v>
      </c>
      <c r="C35" s="170">
        <v>33232</v>
      </c>
      <c r="D35" s="170">
        <v>33337</v>
      </c>
      <c r="E35" s="170">
        <v>34603</v>
      </c>
      <c r="F35" s="219">
        <v>35169</v>
      </c>
      <c r="G35" s="170">
        <v>32925</v>
      </c>
      <c r="H35" s="170">
        <v>36836</v>
      </c>
      <c r="I35" s="170">
        <v>37482</v>
      </c>
      <c r="J35" s="219">
        <v>38036</v>
      </c>
      <c r="K35" s="170">
        <v>39838</v>
      </c>
      <c r="L35" s="170">
        <v>40581</v>
      </c>
      <c r="M35" s="170">
        <v>43499</v>
      </c>
      <c r="N35" s="219">
        <v>47761</v>
      </c>
      <c r="O35" s="170">
        <v>50571</v>
      </c>
      <c r="P35" s="170">
        <v>52729</v>
      </c>
      <c r="Q35" s="170">
        <v>65371</v>
      </c>
      <c r="R35" s="219">
        <v>85992</v>
      </c>
      <c r="S35" s="170">
        <v>90002</v>
      </c>
      <c r="T35" s="170">
        <v>88192</v>
      </c>
      <c r="U35" s="170">
        <v>91635</v>
      </c>
      <c r="V35" s="219">
        <v>100358</v>
      </c>
      <c r="W35" s="170">
        <v>103114</v>
      </c>
      <c r="X35" s="170">
        <v>98383</v>
      </c>
      <c r="Y35" s="170">
        <v>98564</v>
      </c>
      <c r="Z35" s="219">
        <v>97018</v>
      </c>
    </row>
    <row r="36" spans="2:26" s="5" customFormat="1" ht="11.25">
      <c r="B36" s="393" t="str">
        <f>names!$A657</f>
        <v>Kapitał własny przypadający na akcjonariuszy jednostki dominującej</v>
      </c>
      <c r="C36" s="171">
        <v>36413</v>
      </c>
      <c r="D36" s="171">
        <v>36630</v>
      </c>
      <c r="E36" s="171">
        <v>38216</v>
      </c>
      <c r="F36" s="220">
        <v>38596</v>
      </c>
      <c r="G36" s="171">
        <v>36322</v>
      </c>
      <c r="H36" s="171">
        <v>40213</v>
      </c>
      <c r="I36" s="171">
        <v>40556</v>
      </c>
      <c r="J36" s="220">
        <v>41596</v>
      </c>
      <c r="K36" s="171">
        <v>43571</v>
      </c>
      <c r="L36" s="171">
        <v>44580</v>
      </c>
      <c r="M36" s="171">
        <v>47457</v>
      </c>
      <c r="N36" s="220">
        <v>51707</v>
      </c>
      <c r="O36" s="171">
        <v>54612</v>
      </c>
      <c r="P36" s="171">
        <v>57088</v>
      </c>
      <c r="Q36" s="171">
        <v>85956</v>
      </c>
      <c r="R36" s="220">
        <v>142070</v>
      </c>
      <c r="S36" s="171">
        <v>150361</v>
      </c>
      <c r="T36" s="171">
        <v>147766</v>
      </c>
      <c r="U36" s="171">
        <v>151272</v>
      </c>
      <c r="V36" s="220">
        <v>152322</v>
      </c>
      <c r="W36" s="171">
        <v>152869</v>
      </c>
      <c r="X36" s="171">
        <v>148172</v>
      </c>
      <c r="Y36" s="171">
        <v>147346</v>
      </c>
      <c r="Z36" s="220">
        <v>145700</v>
      </c>
    </row>
    <row r="37" spans="2:26" s="5" customFormat="1" ht="11.25">
      <c r="B37" s="71" t="str">
        <f>names!$A658</f>
        <v>Kapitał własny przypadający udziałom niekontrolującym</v>
      </c>
      <c r="C37" s="174">
        <v>12</v>
      </c>
      <c r="D37" s="174">
        <v>11</v>
      </c>
      <c r="E37" s="174">
        <v>11</v>
      </c>
      <c r="F37" s="224">
        <v>11</v>
      </c>
      <c r="G37" s="174">
        <v>10</v>
      </c>
      <c r="H37" s="174">
        <v>1684</v>
      </c>
      <c r="I37" s="174">
        <v>1708</v>
      </c>
      <c r="J37" s="224">
        <v>793</v>
      </c>
      <c r="K37" s="174">
        <v>824</v>
      </c>
      <c r="L37" s="174">
        <v>840</v>
      </c>
      <c r="M37" s="174">
        <v>860</v>
      </c>
      <c r="N37" s="224">
        <v>871</v>
      </c>
      <c r="O37" s="174">
        <v>949</v>
      </c>
      <c r="P37" s="174">
        <v>1020</v>
      </c>
      <c r="Q37" s="174">
        <v>1091</v>
      </c>
      <c r="R37" s="224">
        <v>1040</v>
      </c>
      <c r="S37" s="174">
        <v>1163</v>
      </c>
      <c r="T37" s="174">
        <v>1115</v>
      </c>
      <c r="U37" s="174">
        <v>1107</v>
      </c>
      <c r="V37" s="224">
        <v>1098</v>
      </c>
      <c r="W37" s="174">
        <v>1114</v>
      </c>
      <c r="X37" s="174">
        <v>1093</v>
      </c>
      <c r="Y37" s="174">
        <v>1056</v>
      </c>
      <c r="Z37" s="224">
        <v>989</v>
      </c>
    </row>
    <row r="38" spans="2:26" s="5" customFormat="1" ht="11.25">
      <c r="B38" s="71" t="str">
        <f>names!$A659</f>
        <v>Kapitał własny razem</v>
      </c>
      <c r="C38" s="171">
        <v>36425</v>
      </c>
      <c r="D38" s="171">
        <v>36641</v>
      </c>
      <c r="E38" s="171">
        <v>38227</v>
      </c>
      <c r="F38" s="220">
        <v>38607</v>
      </c>
      <c r="G38" s="171">
        <v>36332</v>
      </c>
      <c r="H38" s="171">
        <v>41897</v>
      </c>
      <c r="I38" s="171">
        <v>42264</v>
      </c>
      <c r="J38" s="220">
        <v>42389</v>
      </c>
      <c r="K38" s="171">
        <v>44395</v>
      </c>
      <c r="L38" s="171">
        <v>45420</v>
      </c>
      <c r="M38" s="171">
        <v>48317</v>
      </c>
      <c r="N38" s="220">
        <v>52578</v>
      </c>
      <c r="O38" s="171">
        <v>55561</v>
      </c>
      <c r="P38" s="171">
        <v>58108</v>
      </c>
      <c r="Q38" s="171">
        <v>87047</v>
      </c>
      <c r="R38" s="220">
        <v>143110</v>
      </c>
      <c r="S38" s="171">
        <v>151524</v>
      </c>
      <c r="T38" s="171">
        <v>148881</v>
      </c>
      <c r="U38" s="171">
        <v>152379</v>
      </c>
      <c r="V38" s="220">
        <v>153420</v>
      </c>
      <c r="W38" s="171">
        <v>153983</v>
      </c>
      <c r="X38" s="171">
        <v>149265</v>
      </c>
      <c r="Y38" s="171">
        <v>148402</v>
      </c>
      <c r="Z38" s="220">
        <v>146689</v>
      </c>
    </row>
    <row r="39" spans="2:26" s="5" customFormat="1" ht="11.25">
      <c r="B39" s="103" t="str">
        <f>names!$A660</f>
        <v>ZOBOWIĄZANIA</v>
      </c>
      <c r="C39" s="172"/>
      <c r="D39" s="172"/>
      <c r="E39" s="172"/>
      <c r="F39" s="221"/>
      <c r="G39" s="172"/>
      <c r="H39" s="172"/>
      <c r="I39" s="172"/>
      <c r="J39" s="221"/>
      <c r="K39" s="172"/>
      <c r="L39" s="172"/>
      <c r="M39" s="172"/>
      <c r="N39" s="221"/>
      <c r="O39" s="172"/>
      <c r="P39" s="172"/>
      <c r="Q39" s="172"/>
      <c r="R39" s="221"/>
      <c r="S39" s="172"/>
      <c r="T39" s="172"/>
      <c r="U39" s="172"/>
      <c r="V39" s="221"/>
      <c r="W39" s="172"/>
      <c r="X39" s="172"/>
      <c r="Y39" s="172"/>
      <c r="Z39" s="221"/>
    </row>
    <row r="40" spans="2:26" s="5" customFormat="1" ht="11.25">
      <c r="B40" s="2" t="str">
        <f>names!$A661</f>
        <v>Kredyty, pożyczki i obligacje</v>
      </c>
      <c r="C40" s="175">
        <v>8604</v>
      </c>
      <c r="D40" s="175">
        <v>8172</v>
      </c>
      <c r="E40" s="175">
        <v>8381</v>
      </c>
      <c r="F40" s="225">
        <v>8185</v>
      </c>
      <c r="G40" s="175">
        <v>8685</v>
      </c>
      <c r="H40" s="175">
        <v>8607</v>
      </c>
      <c r="I40" s="175">
        <v>8410</v>
      </c>
      <c r="J40" s="225">
        <v>9430</v>
      </c>
      <c r="K40" s="175">
        <v>10415</v>
      </c>
      <c r="L40" s="175">
        <v>12922</v>
      </c>
      <c r="M40" s="175">
        <v>12813</v>
      </c>
      <c r="N40" s="225">
        <v>13742</v>
      </c>
      <c r="O40" s="175">
        <v>16939</v>
      </c>
      <c r="P40" s="175">
        <v>9955</v>
      </c>
      <c r="Q40" s="175">
        <v>10210</v>
      </c>
      <c r="R40" s="225">
        <v>11973</v>
      </c>
      <c r="S40" s="175">
        <v>9610</v>
      </c>
      <c r="T40" s="175">
        <v>8718</v>
      </c>
      <c r="U40" s="175">
        <v>10797</v>
      </c>
      <c r="V40" s="225">
        <v>10671</v>
      </c>
      <c r="W40" s="175">
        <v>11035</v>
      </c>
      <c r="X40" s="175">
        <v>10340</v>
      </c>
      <c r="Y40" s="175">
        <v>10878</v>
      </c>
      <c r="Z40" s="225">
        <v>15091</v>
      </c>
    </row>
    <row r="41" spans="2:26" s="5" customFormat="1" ht="11.25">
      <c r="B41" s="2" t="str">
        <f>names!$A662</f>
        <v xml:space="preserve">Rezerwy </v>
      </c>
      <c r="C41" s="175">
        <v>1046</v>
      </c>
      <c r="D41" s="175">
        <v>1045</v>
      </c>
      <c r="E41" s="175">
        <v>1065</v>
      </c>
      <c r="F41" s="225">
        <v>1113</v>
      </c>
      <c r="G41" s="175">
        <v>1125</v>
      </c>
      <c r="H41" s="175">
        <v>2040</v>
      </c>
      <c r="I41" s="175">
        <v>1966</v>
      </c>
      <c r="J41" s="225">
        <v>2264</v>
      </c>
      <c r="K41" s="175">
        <v>2306</v>
      </c>
      <c r="L41" s="175">
        <v>2246</v>
      </c>
      <c r="M41" s="175">
        <v>2187</v>
      </c>
      <c r="N41" s="225">
        <v>1905</v>
      </c>
      <c r="O41" s="175">
        <v>1740</v>
      </c>
      <c r="P41" s="175">
        <v>1592</v>
      </c>
      <c r="Q41" s="175">
        <v>3253</v>
      </c>
      <c r="R41" s="225">
        <v>8206</v>
      </c>
      <c r="S41" s="175">
        <v>8003</v>
      </c>
      <c r="T41" s="175">
        <v>7813</v>
      </c>
      <c r="U41" s="175">
        <v>7878</v>
      </c>
      <c r="V41" s="225">
        <v>9952</v>
      </c>
      <c r="W41" s="175">
        <v>10462</v>
      </c>
      <c r="X41" s="175">
        <v>10450</v>
      </c>
      <c r="Y41" s="175">
        <v>10517</v>
      </c>
      <c r="Z41" s="225">
        <v>11342</v>
      </c>
    </row>
    <row r="42" spans="2:26" s="5" customFormat="1" ht="11.25">
      <c r="B42" s="2" t="str">
        <f>names!$A663</f>
        <v>Zobowiązania z tytułu podatku odroczonego</v>
      </c>
      <c r="C42" s="175">
        <v>1354</v>
      </c>
      <c r="D42" s="175">
        <v>1565</v>
      </c>
      <c r="E42" s="175">
        <v>1462</v>
      </c>
      <c r="F42" s="225">
        <v>1474</v>
      </c>
      <c r="G42" s="175">
        <v>1059</v>
      </c>
      <c r="H42" s="175">
        <v>2066</v>
      </c>
      <c r="I42" s="175">
        <v>2002</v>
      </c>
      <c r="J42" s="225">
        <v>2003</v>
      </c>
      <c r="K42" s="175">
        <v>2105</v>
      </c>
      <c r="L42" s="175">
        <v>2412</v>
      </c>
      <c r="M42" s="175">
        <v>2322</v>
      </c>
      <c r="N42" s="225">
        <v>2060</v>
      </c>
      <c r="O42" s="175">
        <v>1791</v>
      </c>
      <c r="P42" s="175">
        <v>1686</v>
      </c>
      <c r="Q42" s="175">
        <v>2699</v>
      </c>
      <c r="R42" s="225">
        <v>9822</v>
      </c>
      <c r="S42" s="175">
        <v>7465</v>
      </c>
      <c r="T42" s="175">
        <v>8025</v>
      </c>
      <c r="U42" s="175">
        <v>9435</v>
      </c>
      <c r="V42" s="225">
        <v>10485</v>
      </c>
      <c r="W42" s="175">
        <v>10523</v>
      </c>
      <c r="X42" s="175">
        <v>10690</v>
      </c>
      <c r="Y42" s="175">
        <v>11318</v>
      </c>
      <c r="Z42" s="225">
        <v>10744</v>
      </c>
    </row>
    <row r="43" spans="2:26" s="5" customFormat="1" ht="11.25">
      <c r="B43" s="2" t="str">
        <f>names!$A664</f>
        <v>Instrumenty pochodne</v>
      </c>
      <c r="C43" s="175">
        <v>36</v>
      </c>
      <c r="D43" s="175">
        <v>29</v>
      </c>
      <c r="E43" s="175">
        <v>58</v>
      </c>
      <c r="F43" s="225">
        <v>2</v>
      </c>
      <c r="G43" s="175">
        <v>185</v>
      </c>
      <c r="H43" s="175">
        <v>100</v>
      </c>
      <c r="I43" s="175">
        <v>127</v>
      </c>
      <c r="J43" s="225">
        <v>138</v>
      </c>
      <c r="K43" s="175">
        <v>352</v>
      </c>
      <c r="L43" s="175">
        <v>72</v>
      </c>
      <c r="M43" s="175">
        <v>349</v>
      </c>
      <c r="N43" s="225">
        <v>705</v>
      </c>
      <c r="O43" s="175">
        <v>792</v>
      </c>
      <c r="P43" s="175">
        <v>988</v>
      </c>
      <c r="Q43" s="175">
        <v>943</v>
      </c>
      <c r="R43" s="225">
        <v>4681</v>
      </c>
      <c r="S43" s="175">
        <v>1866</v>
      </c>
      <c r="T43" s="175">
        <v>1074</v>
      </c>
      <c r="U43" s="175">
        <v>590</v>
      </c>
      <c r="V43" s="225">
        <v>241</v>
      </c>
      <c r="W43" s="175">
        <v>199</v>
      </c>
      <c r="X43" s="175">
        <v>201</v>
      </c>
      <c r="Y43" s="175">
        <v>312</v>
      </c>
      <c r="Z43" s="225">
        <v>225</v>
      </c>
    </row>
    <row r="44" spans="2:26" s="5" customFormat="1" ht="11.25">
      <c r="B44" s="2" t="str">
        <f>names!$A665</f>
        <v>Zobowiązania z tytułu leasingu</v>
      </c>
      <c r="C44" s="175">
        <v>3075</v>
      </c>
      <c r="D44" s="175">
        <v>3018</v>
      </c>
      <c r="E44" s="175">
        <v>3095</v>
      </c>
      <c r="F44" s="225">
        <v>3380</v>
      </c>
      <c r="G44" s="175">
        <v>3574</v>
      </c>
      <c r="H44" s="175">
        <v>4120</v>
      </c>
      <c r="I44" s="175">
        <v>4154</v>
      </c>
      <c r="J44" s="225">
        <v>4501</v>
      </c>
      <c r="K44" s="175">
        <v>4589</v>
      </c>
      <c r="L44" s="175">
        <v>4675</v>
      </c>
      <c r="M44" s="175">
        <v>4836</v>
      </c>
      <c r="N44" s="225">
        <v>4876</v>
      </c>
      <c r="O44" s="175">
        <v>5024</v>
      </c>
      <c r="P44" s="175">
        <v>5005</v>
      </c>
      <c r="Q44" s="175">
        <v>5823</v>
      </c>
      <c r="R44" s="225">
        <v>8131</v>
      </c>
      <c r="S44" s="175">
        <v>8867</v>
      </c>
      <c r="T44" s="175">
        <v>9240</v>
      </c>
      <c r="U44" s="175">
        <v>9355</v>
      </c>
      <c r="V44" s="225">
        <v>9343</v>
      </c>
      <c r="W44" s="175">
        <v>9543</v>
      </c>
      <c r="X44" s="175">
        <v>9610</v>
      </c>
      <c r="Y44" s="175">
        <v>9530</v>
      </c>
      <c r="Z44" s="225">
        <v>9925</v>
      </c>
    </row>
    <row r="45" spans="2:26" s="5" customFormat="1" ht="11.25">
      <c r="B45" s="2" t="str">
        <f>names!$A666</f>
        <v>Pozostałe zobowiązania</v>
      </c>
      <c r="C45" s="175">
        <v>192</v>
      </c>
      <c r="D45" s="175">
        <v>184</v>
      </c>
      <c r="E45" s="175">
        <v>180</v>
      </c>
      <c r="F45" s="225">
        <v>161</v>
      </c>
      <c r="G45" s="175">
        <v>159</v>
      </c>
      <c r="H45" s="175">
        <v>182</v>
      </c>
      <c r="I45" s="175">
        <v>182</v>
      </c>
      <c r="J45" s="225">
        <v>370</v>
      </c>
      <c r="K45" s="175">
        <v>382</v>
      </c>
      <c r="L45" s="175">
        <v>430</v>
      </c>
      <c r="M45" s="175">
        <v>460</v>
      </c>
      <c r="N45" s="225">
        <v>586</v>
      </c>
      <c r="O45" s="175">
        <v>599</v>
      </c>
      <c r="P45" s="175">
        <v>605</v>
      </c>
      <c r="Q45" s="175">
        <v>680</v>
      </c>
      <c r="R45" s="225">
        <v>4444</v>
      </c>
      <c r="S45" s="175">
        <v>688</v>
      </c>
      <c r="T45" s="175">
        <v>707</v>
      </c>
      <c r="U45" s="175">
        <v>820</v>
      </c>
      <c r="V45" s="225">
        <v>859</v>
      </c>
      <c r="W45" s="175">
        <v>852</v>
      </c>
      <c r="X45" s="175">
        <v>997</v>
      </c>
      <c r="Y45" s="175">
        <v>927</v>
      </c>
      <c r="Z45" s="225">
        <v>1078</v>
      </c>
    </row>
    <row r="46" spans="2:26" s="5" customFormat="1" ht="11.25">
      <c r="B46" s="2" t="str">
        <f>names!$A667</f>
        <v>Zobowiązania z tytułu umów z klientami</v>
      </c>
      <c r="C46" s="175">
        <v>0</v>
      </c>
      <c r="D46" s="175">
        <v>0</v>
      </c>
      <c r="E46" s="175">
        <v>0</v>
      </c>
      <c r="F46" s="225">
        <v>0</v>
      </c>
      <c r="G46" s="175">
        <v>0</v>
      </c>
      <c r="H46" s="175">
        <v>0</v>
      </c>
      <c r="I46" s="175">
        <v>11</v>
      </c>
      <c r="J46" s="225">
        <v>11</v>
      </c>
      <c r="K46" s="175">
        <v>10</v>
      </c>
      <c r="L46" s="175">
        <v>10</v>
      </c>
      <c r="M46" s="175">
        <v>10</v>
      </c>
      <c r="N46" s="225">
        <v>9</v>
      </c>
      <c r="O46" s="175">
        <v>9</v>
      </c>
      <c r="P46" s="175">
        <v>9</v>
      </c>
      <c r="Q46" s="175">
        <v>9</v>
      </c>
      <c r="R46" s="225">
        <v>0</v>
      </c>
      <c r="S46" s="175">
        <v>0</v>
      </c>
      <c r="T46" s="175">
        <v>0</v>
      </c>
      <c r="U46" s="175">
        <v>0</v>
      </c>
      <c r="V46" s="225">
        <v>0</v>
      </c>
      <c r="W46" s="175">
        <v>0</v>
      </c>
      <c r="X46" s="175">
        <v>0</v>
      </c>
      <c r="Y46" s="175">
        <v>0</v>
      </c>
      <c r="Z46" s="225">
        <v>0</v>
      </c>
    </row>
    <row r="47" spans="2:26" s="5" customFormat="1" ht="11.25">
      <c r="B47" s="71" t="str">
        <f>names!$A668</f>
        <v>Zobowiązania długoterminowe</v>
      </c>
      <c r="C47" s="171">
        <v>14307</v>
      </c>
      <c r="D47" s="171">
        <v>14013</v>
      </c>
      <c r="E47" s="171">
        <v>14241</v>
      </c>
      <c r="F47" s="220">
        <v>14315</v>
      </c>
      <c r="G47" s="171">
        <v>14787</v>
      </c>
      <c r="H47" s="171">
        <v>17115</v>
      </c>
      <c r="I47" s="171">
        <v>16852</v>
      </c>
      <c r="J47" s="220">
        <v>18717</v>
      </c>
      <c r="K47" s="171">
        <v>20159</v>
      </c>
      <c r="L47" s="171">
        <v>22767</v>
      </c>
      <c r="M47" s="171">
        <v>22977</v>
      </c>
      <c r="N47" s="220">
        <v>23883</v>
      </c>
      <c r="O47" s="171">
        <v>26894</v>
      </c>
      <c r="P47" s="171">
        <v>19840</v>
      </c>
      <c r="Q47" s="171">
        <v>23617</v>
      </c>
      <c r="R47" s="220">
        <v>47257</v>
      </c>
      <c r="S47" s="171">
        <v>36499</v>
      </c>
      <c r="T47" s="171">
        <v>35577</v>
      </c>
      <c r="U47" s="171">
        <v>38875</v>
      </c>
      <c r="V47" s="220">
        <v>41551</v>
      </c>
      <c r="W47" s="171">
        <v>42614</v>
      </c>
      <c r="X47" s="171">
        <v>42288</v>
      </c>
      <c r="Y47" s="171">
        <v>43482</v>
      </c>
      <c r="Z47" s="220">
        <v>48405</v>
      </c>
    </row>
    <row r="48" spans="2:26" s="5" customFormat="1" ht="11.25">
      <c r="B48" s="3" t="str">
        <f>names!$A669</f>
        <v>Zobowiązania z tytułu dostaw i usług oraz pozostałe zobowiązania</v>
      </c>
      <c r="C48" s="175">
        <v>15074</v>
      </c>
      <c r="D48" s="175">
        <v>17346</v>
      </c>
      <c r="E48" s="175">
        <v>16165</v>
      </c>
      <c r="F48" s="225">
        <v>15132</v>
      </c>
      <c r="G48" s="175">
        <v>11953</v>
      </c>
      <c r="H48" s="175">
        <v>14401</v>
      </c>
      <c r="I48" s="175">
        <v>14678</v>
      </c>
      <c r="J48" s="225">
        <v>14023</v>
      </c>
      <c r="K48" s="175">
        <v>15994</v>
      </c>
      <c r="L48" s="175">
        <v>19754</v>
      </c>
      <c r="M48" s="175">
        <v>19906</v>
      </c>
      <c r="N48" s="225">
        <v>19811</v>
      </c>
      <c r="O48" s="175">
        <v>24432</v>
      </c>
      <c r="P48" s="175">
        <v>27470</v>
      </c>
      <c r="Q48" s="175">
        <v>34542</v>
      </c>
      <c r="R48" s="225">
        <v>40217</v>
      </c>
      <c r="S48" s="175">
        <v>40429</v>
      </c>
      <c r="T48" s="175">
        <v>43137</v>
      </c>
      <c r="U48" s="175">
        <v>40916</v>
      </c>
      <c r="V48" s="225">
        <v>41509</v>
      </c>
      <c r="W48" s="175">
        <v>39467</v>
      </c>
      <c r="X48" s="175">
        <v>45076</v>
      </c>
      <c r="Y48" s="175">
        <v>43091</v>
      </c>
      <c r="Z48" s="225">
        <v>41173</v>
      </c>
    </row>
    <row r="49" spans="2:26" s="5" customFormat="1" ht="11.25">
      <c r="B49" s="3" t="str">
        <f>names!$A670</f>
        <v>Zobowiązania z tytułu leasingu</v>
      </c>
      <c r="C49" s="175">
        <v>581</v>
      </c>
      <c r="D49" s="175">
        <v>550</v>
      </c>
      <c r="E49" s="175">
        <v>597</v>
      </c>
      <c r="F49" s="225">
        <v>618</v>
      </c>
      <c r="G49" s="175">
        <v>655</v>
      </c>
      <c r="H49" s="175">
        <v>660</v>
      </c>
      <c r="I49" s="175">
        <v>653</v>
      </c>
      <c r="J49" s="225">
        <v>713</v>
      </c>
      <c r="K49" s="175">
        <v>661</v>
      </c>
      <c r="L49" s="175">
        <v>644</v>
      </c>
      <c r="M49" s="175">
        <v>690</v>
      </c>
      <c r="N49" s="225">
        <v>679</v>
      </c>
      <c r="O49" s="175">
        <v>694</v>
      </c>
      <c r="P49" s="175">
        <v>701</v>
      </c>
      <c r="Q49" s="175">
        <v>977</v>
      </c>
      <c r="R49" s="225">
        <v>1405</v>
      </c>
      <c r="S49" s="175">
        <v>1290</v>
      </c>
      <c r="T49" s="175">
        <v>1281</v>
      </c>
      <c r="U49" s="175">
        <v>1337</v>
      </c>
      <c r="V49" s="225">
        <v>1386</v>
      </c>
      <c r="W49" s="175">
        <v>1541</v>
      </c>
      <c r="X49" s="175">
        <v>1484</v>
      </c>
      <c r="Y49" s="175">
        <v>1471</v>
      </c>
      <c r="Z49" s="225">
        <v>1470</v>
      </c>
    </row>
    <row r="50" spans="2:26" s="5" customFormat="1" ht="11.25">
      <c r="B50" s="3" t="str">
        <f>names!$A671</f>
        <v>Zobowiązania z tytułu umów z klientami</v>
      </c>
      <c r="C50" s="175">
        <v>243</v>
      </c>
      <c r="D50" s="175">
        <v>263</v>
      </c>
      <c r="E50" s="175">
        <v>309</v>
      </c>
      <c r="F50" s="225">
        <v>246</v>
      </c>
      <c r="G50" s="175">
        <v>356</v>
      </c>
      <c r="H50" s="175">
        <v>417</v>
      </c>
      <c r="I50" s="175">
        <v>439</v>
      </c>
      <c r="J50" s="225">
        <v>442</v>
      </c>
      <c r="K50" s="175">
        <v>507</v>
      </c>
      <c r="L50" s="175">
        <v>563</v>
      </c>
      <c r="M50" s="175">
        <v>620</v>
      </c>
      <c r="N50" s="225">
        <v>719</v>
      </c>
      <c r="O50" s="175">
        <v>772</v>
      </c>
      <c r="P50" s="175">
        <v>1074</v>
      </c>
      <c r="Q50" s="175">
        <v>1115</v>
      </c>
      <c r="R50" s="225">
        <v>1671</v>
      </c>
      <c r="S50" s="175">
        <v>2615</v>
      </c>
      <c r="T50" s="175">
        <v>3107</v>
      </c>
      <c r="U50" s="175">
        <v>3376</v>
      </c>
      <c r="V50" s="225">
        <v>1818</v>
      </c>
      <c r="W50" s="175">
        <v>2325</v>
      </c>
      <c r="X50" s="175">
        <v>1566</v>
      </c>
      <c r="Y50" s="175">
        <v>1723</v>
      </c>
      <c r="Z50" s="225">
        <v>1771</v>
      </c>
    </row>
    <row r="51" spans="2:26" s="5" customFormat="1" ht="11.25">
      <c r="B51" s="2" t="str">
        <f>names!$A672</f>
        <v>Kredyty, pożyczki i obligacje</v>
      </c>
      <c r="C51" s="175">
        <v>112</v>
      </c>
      <c r="D51" s="175">
        <v>413</v>
      </c>
      <c r="E51" s="175">
        <v>401</v>
      </c>
      <c r="F51" s="225">
        <v>422</v>
      </c>
      <c r="G51" s="175">
        <v>600</v>
      </c>
      <c r="H51" s="175">
        <v>5432</v>
      </c>
      <c r="I51" s="175">
        <v>4565</v>
      </c>
      <c r="J51" s="225">
        <v>4930</v>
      </c>
      <c r="K51" s="175">
        <v>5084</v>
      </c>
      <c r="L51" s="175">
        <v>1414</v>
      </c>
      <c r="M51" s="175">
        <v>1542</v>
      </c>
      <c r="N51" s="225">
        <v>1429</v>
      </c>
      <c r="O51" s="175">
        <v>1725</v>
      </c>
      <c r="P51" s="175">
        <v>4733</v>
      </c>
      <c r="Q51" s="175">
        <v>6174</v>
      </c>
      <c r="R51" s="225">
        <v>7252</v>
      </c>
      <c r="S51" s="175">
        <v>7615</v>
      </c>
      <c r="T51" s="175">
        <v>2253</v>
      </c>
      <c r="U51" s="175">
        <v>1574</v>
      </c>
      <c r="V51" s="225">
        <v>4496</v>
      </c>
      <c r="W51" s="175">
        <v>1215</v>
      </c>
      <c r="X51" s="175">
        <v>2511</v>
      </c>
      <c r="Y51" s="175">
        <v>825</v>
      </c>
      <c r="Z51" s="225">
        <v>3055</v>
      </c>
    </row>
    <row r="52" spans="2:26" s="5" customFormat="1" ht="11.25">
      <c r="B52" s="2" t="str">
        <f>names!$A673</f>
        <v>Rezerwy</v>
      </c>
      <c r="C52" s="175">
        <v>1277</v>
      </c>
      <c r="D52" s="175">
        <v>732</v>
      </c>
      <c r="E52" s="175">
        <v>903</v>
      </c>
      <c r="F52" s="225">
        <v>1236</v>
      </c>
      <c r="G52" s="175">
        <v>1503</v>
      </c>
      <c r="H52" s="175">
        <v>1709</v>
      </c>
      <c r="I52" s="175">
        <v>2292</v>
      </c>
      <c r="J52" s="225">
        <v>2299</v>
      </c>
      <c r="K52" s="175">
        <v>3473</v>
      </c>
      <c r="L52" s="175">
        <v>2878</v>
      </c>
      <c r="M52" s="175">
        <v>4443</v>
      </c>
      <c r="N52" s="225">
        <v>6201</v>
      </c>
      <c r="O52" s="175">
        <v>7984</v>
      </c>
      <c r="P52" s="175">
        <v>4360</v>
      </c>
      <c r="Q52" s="175">
        <v>6290</v>
      </c>
      <c r="R52" s="225">
        <v>12841</v>
      </c>
      <c r="S52" s="175">
        <v>15093</v>
      </c>
      <c r="T52" s="175">
        <v>7864</v>
      </c>
      <c r="U52" s="175">
        <v>9522</v>
      </c>
      <c r="V52" s="225">
        <v>11605</v>
      </c>
      <c r="W52" s="175">
        <v>12591</v>
      </c>
      <c r="X52" s="175">
        <v>10007</v>
      </c>
      <c r="Y52" s="175">
        <v>7854</v>
      </c>
      <c r="Z52" s="225">
        <v>8272</v>
      </c>
    </row>
    <row r="53" spans="2:26" s="5" customFormat="1" ht="11.25">
      <c r="B53" s="2" t="str">
        <f>names!$A674</f>
        <v>Zobowiązania z tytułu podatku dochodowego</v>
      </c>
      <c r="C53" s="175">
        <v>161</v>
      </c>
      <c r="D53" s="175">
        <v>204</v>
      </c>
      <c r="E53" s="175">
        <v>189</v>
      </c>
      <c r="F53" s="225">
        <v>124</v>
      </c>
      <c r="G53" s="175">
        <v>137</v>
      </c>
      <c r="H53" s="175">
        <v>46</v>
      </c>
      <c r="I53" s="175">
        <v>54</v>
      </c>
      <c r="J53" s="225">
        <v>66</v>
      </c>
      <c r="K53" s="175">
        <v>127</v>
      </c>
      <c r="L53" s="175">
        <v>86</v>
      </c>
      <c r="M53" s="175">
        <v>169</v>
      </c>
      <c r="N53" s="225">
        <v>855</v>
      </c>
      <c r="O53" s="175">
        <v>681</v>
      </c>
      <c r="P53" s="175">
        <v>1753</v>
      </c>
      <c r="Q53" s="175">
        <v>5237</v>
      </c>
      <c r="R53" s="225">
        <v>14603</v>
      </c>
      <c r="S53" s="175">
        <v>13563</v>
      </c>
      <c r="T53" s="175">
        <v>2712</v>
      </c>
      <c r="U53" s="175">
        <v>2562</v>
      </c>
      <c r="V53" s="225">
        <v>2331</v>
      </c>
      <c r="W53" s="175">
        <v>2750</v>
      </c>
      <c r="X53" s="175">
        <v>2501</v>
      </c>
      <c r="Y53" s="175">
        <v>2774</v>
      </c>
      <c r="Z53" s="225">
        <v>2873</v>
      </c>
    </row>
    <row r="54" spans="2:26" s="5" customFormat="1" ht="9.6" customHeight="1">
      <c r="B54" s="2" t="str">
        <f>names!$A675</f>
        <v>Instrumenty pochodne</v>
      </c>
      <c r="C54" s="175">
        <v>149</v>
      </c>
      <c r="D54" s="175">
        <v>239</v>
      </c>
      <c r="E54" s="175">
        <v>234</v>
      </c>
      <c r="F54" s="225">
        <v>266</v>
      </c>
      <c r="G54" s="175">
        <v>820</v>
      </c>
      <c r="H54" s="175">
        <v>252</v>
      </c>
      <c r="I54" s="175">
        <v>146</v>
      </c>
      <c r="J54" s="225">
        <v>270</v>
      </c>
      <c r="K54" s="175">
        <v>281</v>
      </c>
      <c r="L54" s="175">
        <v>310</v>
      </c>
      <c r="M54" s="175">
        <v>419</v>
      </c>
      <c r="N54" s="225">
        <v>461</v>
      </c>
      <c r="O54" s="175">
        <v>1245</v>
      </c>
      <c r="P54" s="175">
        <v>1626</v>
      </c>
      <c r="Q54" s="175">
        <v>1331</v>
      </c>
      <c r="R54" s="225">
        <v>13403</v>
      </c>
      <c r="S54" s="175">
        <v>6170</v>
      </c>
      <c r="T54" s="175">
        <v>3880</v>
      </c>
      <c r="U54" s="175">
        <v>3044</v>
      </c>
      <c r="V54" s="225">
        <v>1797</v>
      </c>
      <c r="W54" s="175">
        <v>1706</v>
      </c>
      <c r="X54" s="175">
        <v>1354</v>
      </c>
      <c r="Y54" s="175">
        <v>1068</v>
      </c>
      <c r="Z54" s="225">
        <v>926</v>
      </c>
    </row>
    <row r="55" spans="2:26" s="5" customFormat="1" ht="11.25">
      <c r="B55" s="2" t="str">
        <f>names!$A676</f>
        <v>Pozostałe zobowiązania</v>
      </c>
      <c r="C55" s="175">
        <v>654</v>
      </c>
      <c r="D55" s="175">
        <v>369</v>
      </c>
      <c r="E55" s="175">
        <v>285</v>
      </c>
      <c r="F55" s="225">
        <v>236</v>
      </c>
      <c r="G55" s="175">
        <v>1218</v>
      </c>
      <c r="H55" s="175">
        <v>579</v>
      </c>
      <c r="I55" s="175">
        <v>284</v>
      </c>
      <c r="J55" s="225">
        <v>199</v>
      </c>
      <c r="K55" s="175">
        <v>1439</v>
      </c>
      <c r="L55" s="175">
        <v>2128</v>
      </c>
      <c r="M55" s="175">
        <v>2258</v>
      </c>
      <c r="N55" s="225">
        <v>138</v>
      </c>
      <c r="O55" s="175">
        <v>3018</v>
      </c>
      <c r="P55" s="175">
        <v>2475</v>
      </c>
      <c r="Q55" s="175">
        <v>2590</v>
      </c>
      <c r="R55" s="225">
        <v>31418</v>
      </c>
      <c r="S55" s="175">
        <v>5724</v>
      </c>
      <c r="T55" s="175">
        <v>2948</v>
      </c>
      <c r="U55" s="175">
        <v>2252</v>
      </c>
      <c r="V55" s="225">
        <v>4550</v>
      </c>
      <c r="W55" s="175">
        <v>5011</v>
      </c>
      <c r="X55" s="175">
        <v>3647</v>
      </c>
      <c r="Y55" s="175">
        <v>2214</v>
      </c>
      <c r="Z55" s="225">
        <v>734</v>
      </c>
    </row>
    <row r="56" spans="2:26" s="5" customFormat="1" ht="11.25">
      <c r="B56" s="71" t="str">
        <f>names!$A677</f>
        <v>Zobowiązania krótkoterminowe</v>
      </c>
      <c r="C56" s="171">
        <v>18251</v>
      </c>
      <c r="D56" s="171">
        <v>20116</v>
      </c>
      <c r="E56" s="171">
        <v>19083</v>
      </c>
      <c r="F56" s="220">
        <v>18280</v>
      </c>
      <c r="G56" s="171">
        <v>17242</v>
      </c>
      <c r="H56" s="171">
        <v>23496</v>
      </c>
      <c r="I56" s="171">
        <v>23111</v>
      </c>
      <c r="J56" s="220">
        <v>22942</v>
      </c>
      <c r="K56" s="171">
        <v>27566</v>
      </c>
      <c r="L56" s="171">
        <v>27777</v>
      </c>
      <c r="M56" s="171">
        <v>30047</v>
      </c>
      <c r="N56" s="220">
        <v>30293</v>
      </c>
      <c r="O56" s="171">
        <v>40551</v>
      </c>
      <c r="P56" s="171">
        <v>44192</v>
      </c>
      <c r="Q56" s="171">
        <v>58256</v>
      </c>
      <c r="R56" s="220">
        <v>122810</v>
      </c>
      <c r="S56" s="171">
        <v>92499</v>
      </c>
      <c r="T56" s="171">
        <v>67182</v>
      </c>
      <c r="U56" s="171">
        <v>64583</v>
      </c>
      <c r="V56" s="220">
        <v>69492</v>
      </c>
      <c r="W56" s="171">
        <v>66606</v>
      </c>
      <c r="X56" s="171">
        <v>68146</v>
      </c>
      <c r="Y56" s="171">
        <v>61020</v>
      </c>
      <c r="Z56" s="220">
        <v>60274</v>
      </c>
    </row>
    <row r="57" spans="2:26" s="5" customFormat="1" ht="12" thickBot="1">
      <c r="B57" s="88" t="str">
        <f>names!$A678</f>
        <v>Zobowiązania razem</v>
      </c>
      <c r="C57" s="176">
        <v>32558</v>
      </c>
      <c r="D57" s="176">
        <v>34129</v>
      </c>
      <c r="E57" s="176">
        <v>33324</v>
      </c>
      <c r="F57" s="226">
        <v>32595</v>
      </c>
      <c r="G57" s="176">
        <v>32029</v>
      </c>
      <c r="H57" s="176">
        <v>40611</v>
      </c>
      <c r="I57" s="176">
        <v>39963</v>
      </c>
      <c r="J57" s="226">
        <v>41659</v>
      </c>
      <c r="K57" s="176">
        <v>47725</v>
      </c>
      <c r="L57" s="176">
        <v>50544</v>
      </c>
      <c r="M57" s="176">
        <v>53024</v>
      </c>
      <c r="N57" s="226">
        <v>54176</v>
      </c>
      <c r="O57" s="176">
        <v>67445</v>
      </c>
      <c r="P57" s="176">
        <v>64032</v>
      </c>
      <c r="Q57" s="176">
        <v>81873</v>
      </c>
      <c r="R57" s="226">
        <v>170067</v>
      </c>
      <c r="S57" s="176">
        <v>128998</v>
      </c>
      <c r="T57" s="176">
        <v>102759</v>
      </c>
      <c r="U57" s="176">
        <v>103458</v>
      </c>
      <c r="V57" s="226">
        <v>111043</v>
      </c>
      <c r="W57" s="176">
        <v>109220</v>
      </c>
      <c r="X57" s="176">
        <v>110434</v>
      </c>
      <c r="Y57" s="176">
        <v>104502</v>
      </c>
      <c r="Z57" s="226">
        <v>108679</v>
      </c>
    </row>
    <row r="58" spans="2:26" s="5" customFormat="1" thickBot="1">
      <c r="B58" s="85" t="str">
        <f>names!$A679</f>
        <v>Pasywa razem</v>
      </c>
      <c r="C58" s="166">
        <v>68983</v>
      </c>
      <c r="D58" s="166">
        <v>70770</v>
      </c>
      <c r="E58" s="166">
        <v>71551</v>
      </c>
      <c r="F58" s="222">
        <v>71202</v>
      </c>
      <c r="G58" s="166">
        <v>68361</v>
      </c>
      <c r="H58" s="166">
        <v>82508</v>
      </c>
      <c r="I58" s="166">
        <v>82227</v>
      </c>
      <c r="J58" s="222">
        <v>84048</v>
      </c>
      <c r="K58" s="166">
        <v>92120</v>
      </c>
      <c r="L58" s="166">
        <v>95964</v>
      </c>
      <c r="M58" s="166">
        <v>101341</v>
      </c>
      <c r="N58" s="222">
        <v>106754</v>
      </c>
      <c r="O58" s="166">
        <v>123006</v>
      </c>
      <c r="P58" s="166">
        <v>122140</v>
      </c>
      <c r="Q58" s="166">
        <v>168920</v>
      </c>
      <c r="R58" s="222">
        <v>313177</v>
      </c>
      <c r="S58" s="166">
        <v>280522</v>
      </c>
      <c r="T58" s="166">
        <v>251640</v>
      </c>
      <c r="U58" s="166">
        <v>255837</v>
      </c>
      <c r="V58" s="222">
        <v>264463</v>
      </c>
      <c r="W58" s="166">
        <v>263203</v>
      </c>
      <c r="X58" s="166">
        <v>259699</v>
      </c>
      <c r="Y58" s="166">
        <v>252904</v>
      </c>
      <c r="Z58" s="222">
        <v>255368</v>
      </c>
    </row>
    <row r="59" spans="2:26" s="5" customFormat="1" ht="7.5" customHeight="1">
      <c r="B59" s="1"/>
      <c r="C59" s="434"/>
      <c r="D59" s="434"/>
      <c r="E59" s="434"/>
      <c r="F59" s="434"/>
      <c r="G59" s="434"/>
      <c r="H59" s="434"/>
      <c r="I59" s="434"/>
      <c r="J59" s="434"/>
      <c r="K59" s="434"/>
      <c r="L59" s="434"/>
      <c r="M59" s="434"/>
      <c r="N59" s="434"/>
      <c r="O59" s="434"/>
      <c r="P59" s="434"/>
      <c r="Q59" s="434"/>
      <c r="R59" s="434"/>
      <c r="S59" s="434"/>
      <c r="T59" s="434"/>
      <c r="U59" s="434"/>
      <c r="V59" s="434"/>
      <c r="W59" s="434"/>
      <c r="X59" s="434"/>
      <c r="Y59" s="434"/>
      <c r="Z59" s="434"/>
    </row>
    <row r="60" spans="2:26">
      <c r="B60" s="1" t="str">
        <f>names!$A681</f>
        <v>*) Dane przekształcone.</v>
      </c>
    </row>
    <row r="61" spans="2:26">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2:26" ht="12.75" customHeight="1">
      <c r="B62" s="577"/>
      <c r="C62" s="577"/>
      <c r="D62" s="577"/>
      <c r="E62" s="577"/>
      <c r="F62" s="577"/>
      <c r="G62" s="577"/>
      <c r="H62" s="577"/>
      <c r="I62" s="577"/>
      <c r="J62" s="577"/>
      <c r="K62" s="577"/>
      <c r="L62" s="577"/>
      <c r="M62" s="577"/>
      <c r="N62" s="577"/>
      <c r="O62" s="577"/>
      <c r="P62" s="577"/>
      <c r="Q62" s="577"/>
      <c r="R62" s="577"/>
      <c r="S62" s="577"/>
      <c r="T62" s="577"/>
      <c r="U62" s="577"/>
      <c r="V62" s="577"/>
      <c r="W62" s="577"/>
      <c r="X62" s="577"/>
      <c r="Y62" s="577"/>
      <c r="Z62" s="577"/>
    </row>
    <row r="63" spans="2:26" ht="12.75" customHeight="1">
      <c r="B63" s="4"/>
      <c r="C63" s="36"/>
      <c r="D63" s="36"/>
      <c r="E63" s="36"/>
      <c r="F63" s="36"/>
      <c r="G63" s="36"/>
      <c r="H63" s="36"/>
      <c r="I63" s="36"/>
      <c r="J63" s="36"/>
      <c r="K63" s="770"/>
      <c r="L63" s="36"/>
      <c r="M63" s="770"/>
      <c r="N63" s="36"/>
      <c r="O63" s="36"/>
      <c r="P63" s="36"/>
      <c r="Q63" s="36"/>
      <c r="R63" s="36"/>
      <c r="S63" s="36"/>
      <c r="T63" s="36"/>
      <c r="U63" s="36"/>
      <c r="V63" s="36"/>
      <c r="W63" s="36"/>
      <c r="X63" s="36"/>
      <c r="Y63" s="36"/>
      <c r="Z63" s="36"/>
    </row>
    <row r="64" spans="2:26" ht="12.75" customHeight="1">
      <c r="B64" s="43"/>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3:26" ht="12.75" customHeight="1">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3:26" ht="12.75" customHeight="1"/>
    <row r="67" spans="3:26" ht="25.5" customHeight="1"/>
    <row r="68" spans="3:26" ht="12.75" customHeight="1"/>
    <row r="69" spans="3:26" ht="12.75" customHeight="1"/>
    <row r="70" spans="3:26" ht="12.75" customHeight="1"/>
    <row r="71" spans="3:26" ht="12.75" customHeight="1"/>
    <row r="72" spans="3:26" ht="12.75" customHeight="1"/>
    <row r="73" spans="3:26" ht="12.75" customHeight="1"/>
    <row r="74" spans="3:26" ht="12.75" customHeight="1"/>
    <row r="75" spans="3:26" ht="12.75" customHeight="1"/>
    <row r="76" spans="3:26" ht="12.75" customHeight="1"/>
    <row r="77" spans="3:26" ht="12.75" customHeight="1"/>
    <row r="78" spans="3:26" ht="12.75" customHeight="1"/>
    <row r="79" spans="3:26" ht="12.75" customHeight="1"/>
    <row r="80" spans="3:26" ht="12.75" customHeight="1"/>
    <row r="81" ht="12.75" customHeight="1"/>
    <row r="82" ht="12.75" customHeight="1"/>
    <row r="83" ht="12.75" customHeight="1"/>
    <row r="84" ht="12.75" customHeight="1"/>
    <row r="189" ht="12.75" customHeight="1"/>
    <row r="1190" ht="22.5" customHeight="1"/>
  </sheetData>
  <conditionalFormatting sqref="B62:Z62">
    <cfRule type="cellIs" dxfId="30" priority="2" operator="equal">
      <formula>FALSE</formula>
    </cfRule>
  </conditionalFormatting>
  <printOptions horizontalCentered="1"/>
  <pageMargins left="0.74803149606299213" right="0.74803149606299213" top="0.98425196850393704" bottom="0.98425196850393704" header="0.51181102362204722" footer="0.51181102362204722"/>
  <pageSetup paperSize="9" scale="6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10">
    <tabColor theme="0" tint="-0.34998626667073579"/>
    <pageSetUpPr fitToPage="1"/>
  </sheetPr>
  <dimension ref="A2:R82"/>
  <sheetViews>
    <sheetView showGridLines="0" view="pageBreakPreview" zoomScaleNormal="100" zoomScaleSheetLayoutView="100" workbookViewId="0">
      <pane xSplit="2" ySplit="4" topLeftCell="G5" activePane="bottomRight" state="frozen"/>
      <selection activeCell="B7" sqref="B7"/>
      <selection pane="topRight" activeCell="B7" sqref="B7"/>
      <selection pane="bottomLeft" activeCell="B7" sqref="B7"/>
      <selection pane="bottomRight"/>
    </sheetView>
  </sheetViews>
  <sheetFormatPr defaultColWidth="9.28515625" defaultRowHeight="12.75" outlineLevelRow="1" outlineLevelCol="1"/>
  <cols>
    <col min="1" max="1" width="1.28515625" customWidth="1"/>
    <col min="2" max="2" width="78" style="13" customWidth="1"/>
    <col min="3" max="6" width="8.5703125" style="10" hidden="1" customWidth="1" outlineLevel="1"/>
    <col min="7" max="7" width="8.5703125" style="10" customWidth="1" collapsed="1"/>
    <col min="8" max="11" width="8.5703125" style="10" hidden="1" customWidth="1" outlineLevel="1"/>
    <col min="12" max="12" width="8.5703125" style="10" customWidth="1" collapsed="1"/>
    <col min="13" max="14" width="8.5703125" style="10" hidden="1" customWidth="1" outlineLevel="1"/>
    <col min="15" max="16" width="8.28515625" style="10" hidden="1" customWidth="1" outlineLevel="1"/>
    <col min="17" max="17" width="8.28515625" style="10" customWidth="1" collapsed="1"/>
    <col min="18" max="18" width="9.28515625" customWidth="1"/>
  </cols>
  <sheetData>
    <row r="2" spans="1:18" ht="15.75">
      <c r="B2" s="397" t="str">
        <f>names!A1463</f>
        <v>Skonsolidowane sprawozdanie z przepływów pieniężnych</v>
      </c>
      <c r="R2" s="577"/>
    </row>
    <row r="3" spans="1:18" ht="10.15" customHeight="1">
      <c r="R3" s="577"/>
    </row>
    <row r="4" spans="1:18" s="1" customFormat="1" ht="31.5" customHeight="1">
      <c r="B4" s="15" t="str">
        <f>names!A1465</f>
        <v>Wyszczególnienie, 
mln PLN</v>
      </c>
      <c r="C4" s="15" t="str">
        <f>names!$A499</f>
        <v>I kw.
2013 *</v>
      </c>
      <c r="D4" s="15" t="str">
        <f>names!$A500</f>
        <v>II kw.
2013 *</v>
      </c>
      <c r="E4" s="15" t="str">
        <f>names!$A501</f>
        <v>III kw.
2013 *</v>
      </c>
      <c r="F4" s="15" t="str">
        <f>names!$A502</f>
        <v>IV kw.
2013 *</v>
      </c>
      <c r="G4" s="15" t="str">
        <f>names!$A503</f>
        <v>12 m-cy
2013 *</v>
      </c>
      <c r="H4" s="15" t="str">
        <f>names!$A504</f>
        <v>I kw.
2014</v>
      </c>
      <c r="I4" s="15" t="str">
        <f>names!$A505</f>
        <v>II kw.
2014</v>
      </c>
      <c r="J4" s="15" t="str">
        <f>names!$A506</f>
        <v>III kw.
2014</v>
      </c>
      <c r="K4" s="15" t="str">
        <f>names!$A507</f>
        <v>IV kw.
2014</v>
      </c>
      <c r="L4" s="15" t="str">
        <f>names!$A508</f>
        <v>12 m-cy
2014</v>
      </c>
      <c r="M4" s="15" t="str">
        <f>names!$A509</f>
        <v>I kw.
2015</v>
      </c>
      <c r="N4" s="15" t="str">
        <f>names!$A510</f>
        <v>II kw.
2015</v>
      </c>
      <c r="O4" s="15" t="str">
        <f>names!$A511</f>
        <v>III kw.
2015</v>
      </c>
      <c r="P4" s="15" t="str">
        <f>names!$A512</f>
        <v>IV kw.
2015</v>
      </c>
      <c r="Q4" s="15" t="str">
        <f>names!$A513</f>
        <v>12 m-cy
2015</v>
      </c>
      <c r="R4" s="577"/>
    </row>
    <row r="5" spans="1:18" s="30" customFormat="1" ht="7.15" customHeight="1">
      <c r="B5" s="92"/>
      <c r="C5" s="92"/>
      <c r="D5" s="92"/>
      <c r="E5" s="92"/>
      <c r="F5" s="92"/>
      <c r="G5" s="92"/>
      <c r="H5" s="92"/>
      <c r="I5" s="92"/>
      <c r="J5" s="92"/>
      <c r="K5" s="92"/>
      <c r="L5" s="92"/>
      <c r="M5" s="92"/>
      <c r="N5" s="92"/>
      <c r="O5" s="92"/>
      <c r="P5" s="92"/>
      <c r="Q5" s="92"/>
      <c r="R5" s="577"/>
    </row>
    <row r="6" spans="1:18" s="1" customFormat="1" ht="11.25">
      <c r="B6" s="406" t="str">
        <f>names!A1467</f>
        <v>Przepływy pieniężne z działalności operacyjnej</v>
      </c>
      <c r="C6" s="27"/>
      <c r="D6" s="27"/>
      <c r="E6" s="27"/>
      <c r="F6" s="27"/>
      <c r="G6" s="227"/>
      <c r="H6" s="27"/>
      <c r="I6" s="27"/>
      <c r="J6" s="27"/>
      <c r="K6" s="27"/>
      <c r="L6" s="227"/>
      <c r="M6" s="27"/>
      <c r="N6" s="27"/>
      <c r="O6" s="27"/>
      <c r="P6" s="27"/>
      <c r="Q6" s="227"/>
      <c r="R6" s="577"/>
    </row>
    <row r="7" spans="1:18" s="1" customFormat="1" ht="11.25">
      <c r="B7" s="402" t="str">
        <f>names!A1468</f>
        <v xml:space="preserve">Zysk/(Strata) netto </v>
      </c>
      <c r="C7" s="130">
        <v>145</v>
      </c>
      <c r="D7" s="130">
        <v>-229</v>
      </c>
      <c r="E7" s="130">
        <v>652</v>
      </c>
      <c r="F7" s="130">
        <v>-478</v>
      </c>
      <c r="G7" s="228">
        <v>90</v>
      </c>
      <c r="H7" s="130">
        <v>126</v>
      </c>
      <c r="I7" s="130">
        <v>-5390</v>
      </c>
      <c r="J7" s="130">
        <v>615</v>
      </c>
      <c r="K7" s="130">
        <v>-1179</v>
      </c>
      <c r="L7" s="228">
        <v>-5828</v>
      </c>
      <c r="M7" s="130">
        <v>868</v>
      </c>
      <c r="N7" s="130">
        <v>1549</v>
      </c>
      <c r="O7" s="130">
        <v>885</v>
      </c>
      <c r="P7" s="130">
        <v>-69</v>
      </c>
      <c r="Q7" s="228">
        <v>3233</v>
      </c>
      <c r="R7" s="577"/>
    </row>
    <row r="8" spans="1:18" s="1" customFormat="1" ht="11.25">
      <c r="B8" s="46" t="str">
        <f>names!A1469</f>
        <v>Korekty o pozycje:</v>
      </c>
      <c r="C8" s="131"/>
      <c r="D8" s="131"/>
      <c r="E8" s="131"/>
      <c r="F8" s="131"/>
      <c r="G8" s="229"/>
      <c r="H8" s="131"/>
      <c r="I8" s="131"/>
      <c r="J8" s="131"/>
      <c r="K8" s="131"/>
      <c r="L8" s="229"/>
      <c r="M8" s="131"/>
      <c r="N8" s="131"/>
      <c r="O8" s="131"/>
      <c r="P8" s="131"/>
      <c r="Q8" s="229"/>
      <c r="R8" s="577"/>
    </row>
    <row r="9" spans="1:18" s="1" customFormat="1" ht="11.25" customHeight="1">
      <c r="B9" s="405" t="str">
        <f>names!A1470</f>
        <v>Udział w wyniku finansowym jednostek wycenianych metodą praw własności</v>
      </c>
      <c r="C9" s="131">
        <v>-10</v>
      </c>
      <c r="D9" s="131">
        <v>-4</v>
      </c>
      <c r="E9" s="131">
        <v>-20</v>
      </c>
      <c r="F9" s="131">
        <v>-6</v>
      </c>
      <c r="G9" s="229">
        <v>-40</v>
      </c>
      <c r="H9" s="131">
        <v>-16</v>
      </c>
      <c r="I9" s="131">
        <v>-21</v>
      </c>
      <c r="J9" s="131">
        <v>-23</v>
      </c>
      <c r="K9" s="131">
        <v>3</v>
      </c>
      <c r="L9" s="229">
        <v>-57</v>
      </c>
      <c r="M9" s="131">
        <v>-31</v>
      </c>
      <c r="N9" s="131">
        <v>-73</v>
      </c>
      <c r="O9" s="131">
        <v>-85</v>
      </c>
      <c r="P9" s="131">
        <v>-64</v>
      </c>
      <c r="Q9" s="229">
        <v>-253</v>
      </c>
      <c r="R9" s="577"/>
    </row>
    <row r="10" spans="1:18" s="1" customFormat="1" ht="11.25">
      <c r="B10" s="405" t="str">
        <f>names!A1471</f>
        <v>Amortyzacja</v>
      </c>
      <c r="C10" s="131">
        <v>523</v>
      </c>
      <c r="D10" s="131">
        <v>520</v>
      </c>
      <c r="E10" s="131">
        <v>526</v>
      </c>
      <c r="F10" s="131">
        <v>542</v>
      </c>
      <c r="G10" s="229">
        <v>2111</v>
      </c>
      <c r="H10" s="131">
        <v>522</v>
      </c>
      <c r="I10" s="131">
        <v>524</v>
      </c>
      <c r="J10" s="131">
        <v>460</v>
      </c>
      <c r="K10" s="131">
        <v>485</v>
      </c>
      <c r="L10" s="229">
        <v>1991</v>
      </c>
      <c r="M10" s="131">
        <v>452</v>
      </c>
      <c r="N10" s="131">
        <v>464</v>
      </c>
      <c r="O10" s="131">
        <v>469</v>
      </c>
      <c r="P10" s="131">
        <v>510</v>
      </c>
      <c r="Q10" s="229">
        <v>1895</v>
      </c>
      <c r="R10" s="577"/>
    </row>
    <row r="11" spans="1:18" s="1" customFormat="1" ht="11.25">
      <c r="B11" s="405" t="str">
        <f>names!A1472</f>
        <v>(Zysk)/Strata z tytułu różnic kursowych</v>
      </c>
      <c r="C11" s="131">
        <v>56</v>
      </c>
      <c r="D11" s="131">
        <v>72</v>
      </c>
      <c r="E11" s="131">
        <v>-37</v>
      </c>
      <c r="F11" s="131">
        <v>-27</v>
      </c>
      <c r="G11" s="229">
        <v>64</v>
      </c>
      <c r="H11" s="131">
        <v>-4</v>
      </c>
      <c r="I11" s="131">
        <v>796</v>
      </c>
      <c r="J11" s="131">
        <v>-31</v>
      </c>
      <c r="K11" s="131">
        <v>119</v>
      </c>
      <c r="L11" s="229">
        <v>880</v>
      </c>
      <c r="M11" s="131">
        <v>-218</v>
      </c>
      <c r="N11" s="131">
        <v>156</v>
      </c>
      <c r="O11" s="131">
        <v>48</v>
      </c>
      <c r="P11" s="131">
        <v>38</v>
      </c>
      <c r="Q11" s="229">
        <v>24</v>
      </c>
      <c r="R11" s="577"/>
    </row>
    <row r="12" spans="1:18" s="1" customFormat="1" ht="11.25">
      <c r="B12" s="405" t="str">
        <f>names!A1473</f>
        <v>Odsetki netto</v>
      </c>
      <c r="C12" s="131">
        <v>64</v>
      </c>
      <c r="D12" s="131">
        <v>78</v>
      </c>
      <c r="E12" s="131">
        <v>74</v>
      </c>
      <c r="F12" s="131">
        <v>56</v>
      </c>
      <c r="G12" s="229">
        <v>272</v>
      </c>
      <c r="H12" s="131">
        <v>52</v>
      </c>
      <c r="I12" s="131">
        <v>77</v>
      </c>
      <c r="J12" s="131">
        <v>63</v>
      </c>
      <c r="K12" s="131">
        <v>49</v>
      </c>
      <c r="L12" s="229">
        <v>241</v>
      </c>
      <c r="M12" s="131">
        <v>54</v>
      </c>
      <c r="N12" s="131">
        <v>51</v>
      </c>
      <c r="O12" s="131">
        <v>46</v>
      </c>
      <c r="P12" s="131">
        <v>48</v>
      </c>
      <c r="Q12" s="229">
        <v>199</v>
      </c>
      <c r="R12" s="577"/>
    </row>
    <row r="13" spans="1:18" s="1" customFormat="1" ht="11.25">
      <c r="B13" s="405" t="str">
        <f>names!A1474</f>
        <v>Dywidendy</v>
      </c>
      <c r="C13" s="131">
        <v>0</v>
      </c>
      <c r="D13" s="131">
        <v>-2</v>
      </c>
      <c r="E13" s="131">
        <v>0</v>
      </c>
      <c r="F13" s="131">
        <v>0</v>
      </c>
      <c r="G13" s="229">
        <v>-2</v>
      </c>
      <c r="H13" s="131">
        <v>0</v>
      </c>
      <c r="I13" s="131">
        <v>-2</v>
      </c>
      <c r="J13" s="131">
        <v>0</v>
      </c>
      <c r="K13" s="131">
        <v>0</v>
      </c>
      <c r="L13" s="229">
        <v>-2</v>
      </c>
      <c r="M13" s="131">
        <v>0</v>
      </c>
      <c r="N13" s="131">
        <v>-2</v>
      </c>
      <c r="O13" s="131">
        <v>0</v>
      </c>
      <c r="P13" s="131">
        <v>0</v>
      </c>
      <c r="Q13" s="229">
        <v>-2</v>
      </c>
      <c r="R13" s="577"/>
    </row>
    <row r="14" spans="1:18" s="1" customFormat="1" ht="11.25">
      <c r="B14" s="405" t="str">
        <f>names!A1475</f>
        <v>(Zysk)/Strata na działalności inwestycyjnej</v>
      </c>
      <c r="C14" s="131">
        <v>-43</v>
      </c>
      <c r="D14" s="131">
        <v>-48</v>
      </c>
      <c r="E14" s="131">
        <v>110</v>
      </c>
      <c r="F14" s="131">
        <v>75</v>
      </c>
      <c r="G14" s="229">
        <v>94</v>
      </c>
      <c r="H14" s="131">
        <v>36</v>
      </c>
      <c r="I14" s="131">
        <v>4971</v>
      </c>
      <c r="J14" s="131">
        <v>-254</v>
      </c>
      <c r="K14" s="131">
        <v>262</v>
      </c>
      <c r="L14" s="229">
        <v>5015</v>
      </c>
      <c r="M14" s="131">
        <v>113</v>
      </c>
      <c r="N14" s="131">
        <v>488</v>
      </c>
      <c r="O14" s="131">
        <v>107</v>
      </c>
      <c r="P14" s="131">
        <v>398</v>
      </c>
      <c r="Q14" s="229">
        <v>1106</v>
      </c>
      <c r="R14" s="577"/>
    </row>
    <row r="15" spans="1:18" s="1" customFormat="1" ht="11.25">
      <c r="A15" s="62"/>
      <c r="B15" s="405" t="str">
        <f>names!A1476</f>
        <v>Podatek dochodowy od zysku/(straty) przed opodatkowaniem</v>
      </c>
      <c r="C15" s="131">
        <v>-32</v>
      </c>
      <c r="D15" s="131">
        <v>-36</v>
      </c>
      <c r="E15" s="131">
        <v>154</v>
      </c>
      <c r="F15" s="131">
        <v>-19</v>
      </c>
      <c r="G15" s="229">
        <v>67</v>
      </c>
      <c r="H15" s="131">
        <v>28</v>
      </c>
      <c r="I15" s="131">
        <v>-340</v>
      </c>
      <c r="J15" s="131">
        <v>129</v>
      </c>
      <c r="K15" s="131">
        <v>-235</v>
      </c>
      <c r="L15" s="229">
        <v>-418</v>
      </c>
      <c r="M15" s="131">
        <v>166</v>
      </c>
      <c r="N15" s="131">
        <v>402</v>
      </c>
      <c r="O15" s="131">
        <v>170</v>
      </c>
      <c r="P15" s="131">
        <v>-273</v>
      </c>
      <c r="Q15" s="229">
        <v>465</v>
      </c>
      <c r="R15" s="577"/>
    </row>
    <row r="16" spans="1:18" s="1" customFormat="1" ht="11.25">
      <c r="A16" s="62"/>
      <c r="B16" s="405" t="str">
        <f>names!A1477</f>
        <v xml:space="preserve">Zmiana stanu rezerw </v>
      </c>
      <c r="C16" s="131">
        <v>56</v>
      </c>
      <c r="D16" s="131">
        <v>159</v>
      </c>
      <c r="E16" s="131">
        <v>41</v>
      </c>
      <c r="F16" s="131">
        <v>135</v>
      </c>
      <c r="G16" s="229">
        <v>391</v>
      </c>
      <c r="H16" s="131">
        <v>63</v>
      </c>
      <c r="I16" s="131">
        <v>-110</v>
      </c>
      <c r="J16" s="131">
        <v>64</v>
      </c>
      <c r="K16" s="131">
        <v>124</v>
      </c>
      <c r="L16" s="229">
        <v>141</v>
      </c>
      <c r="M16" s="131">
        <v>56</v>
      </c>
      <c r="N16" s="131">
        <v>142</v>
      </c>
      <c r="O16" s="131">
        <v>139</v>
      </c>
      <c r="P16" s="131">
        <v>126</v>
      </c>
      <c r="Q16" s="229">
        <v>463</v>
      </c>
      <c r="R16" s="577"/>
    </row>
    <row r="17" spans="1:18" s="1" customFormat="1" ht="11.25">
      <c r="A17" s="62"/>
      <c r="B17" s="407" t="str">
        <f>names!A1478</f>
        <v>Zmiana stanu kapitału pracującego</v>
      </c>
      <c r="C17" s="133">
        <f>C18+C19+C20</f>
        <v>-2011</v>
      </c>
      <c r="D17" s="133">
        <f t="shared" ref="D17:O17" si="0">D18+D19+D20</f>
        <v>3807</v>
      </c>
      <c r="E17" s="133">
        <f t="shared" si="0"/>
        <v>-294</v>
      </c>
      <c r="F17" s="133">
        <f t="shared" si="0"/>
        <v>1313</v>
      </c>
      <c r="G17" s="230">
        <f t="shared" si="0"/>
        <v>2815</v>
      </c>
      <c r="H17" s="133">
        <f t="shared" si="0"/>
        <v>-3965</v>
      </c>
      <c r="I17" s="133">
        <f t="shared" si="0"/>
        <v>3615</v>
      </c>
      <c r="J17" s="133">
        <f t="shared" si="0"/>
        <v>1083</v>
      </c>
      <c r="K17" s="133">
        <f t="shared" si="0"/>
        <v>1019</v>
      </c>
      <c r="L17" s="230">
        <f t="shared" si="0"/>
        <v>1752</v>
      </c>
      <c r="M17" s="133">
        <f t="shared" si="0"/>
        <v>-419</v>
      </c>
      <c r="N17" s="133">
        <f t="shared" si="0"/>
        <v>-371</v>
      </c>
      <c r="O17" s="133">
        <f t="shared" si="0"/>
        <v>-1482</v>
      </c>
      <c r="P17" s="133">
        <v>952</v>
      </c>
      <c r="Q17" s="230">
        <v>-1320</v>
      </c>
      <c r="R17" s="577"/>
    </row>
    <row r="18" spans="1:18" s="1" customFormat="1" ht="11.25">
      <c r="A18" s="62"/>
      <c r="B18" s="408" t="str">
        <f>names!A1479</f>
        <v>zapasy</v>
      </c>
      <c r="C18" s="132">
        <v>-1524</v>
      </c>
      <c r="D18" s="132">
        <v>2720</v>
      </c>
      <c r="E18" s="132">
        <v>-1547</v>
      </c>
      <c r="F18" s="132">
        <v>1325</v>
      </c>
      <c r="G18" s="231">
        <v>974</v>
      </c>
      <c r="H18" s="132">
        <v>-2404</v>
      </c>
      <c r="I18" s="132">
        <v>3253</v>
      </c>
      <c r="J18" s="132">
        <v>223</v>
      </c>
      <c r="K18" s="132">
        <v>3034</v>
      </c>
      <c r="L18" s="231">
        <v>4106</v>
      </c>
      <c r="M18" s="132">
        <v>-334</v>
      </c>
      <c r="N18" s="132">
        <v>-437</v>
      </c>
      <c r="O18" s="132">
        <v>-1143</v>
      </c>
      <c r="P18" s="132">
        <v>1259</v>
      </c>
      <c r="Q18" s="231">
        <v>-655</v>
      </c>
      <c r="R18" s="577"/>
    </row>
    <row r="19" spans="1:18" s="1" customFormat="1" ht="11.25">
      <c r="A19" s="62"/>
      <c r="B19" s="408" t="str">
        <f>names!A1480</f>
        <v>należności</v>
      </c>
      <c r="C19" s="132">
        <v>-550</v>
      </c>
      <c r="D19" s="132">
        <v>29</v>
      </c>
      <c r="E19" s="132">
        <v>-207</v>
      </c>
      <c r="F19" s="132">
        <v>1133</v>
      </c>
      <c r="G19" s="231">
        <v>405</v>
      </c>
      <c r="H19" s="132">
        <v>-780</v>
      </c>
      <c r="I19" s="132">
        <v>-177</v>
      </c>
      <c r="J19" s="132">
        <v>-36</v>
      </c>
      <c r="K19" s="132">
        <v>1917</v>
      </c>
      <c r="L19" s="231">
        <v>924</v>
      </c>
      <c r="M19" s="132">
        <v>-332</v>
      </c>
      <c r="N19" s="132">
        <v>-1215</v>
      </c>
      <c r="O19" s="132">
        <v>1381</v>
      </c>
      <c r="P19" s="132">
        <v>1424</v>
      </c>
      <c r="Q19" s="231">
        <v>1258</v>
      </c>
      <c r="R19" s="577"/>
    </row>
    <row r="20" spans="1:18" s="1" customFormat="1" ht="11.25">
      <c r="A20" s="62"/>
      <c r="B20" s="408" t="str">
        <f>names!A1481</f>
        <v>zobowiązania</v>
      </c>
      <c r="C20" s="132">
        <v>63</v>
      </c>
      <c r="D20" s="132">
        <v>1058</v>
      </c>
      <c r="E20" s="132">
        <v>1460</v>
      </c>
      <c r="F20" s="132">
        <v>-1145</v>
      </c>
      <c r="G20" s="231">
        <v>1436</v>
      </c>
      <c r="H20" s="132">
        <v>-781</v>
      </c>
      <c r="I20" s="132">
        <v>539</v>
      </c>
      <c r="J20" s="132">
        <v>896</v>
      </c>
      <c r="K20" s="132">
        <v>-3932</v>
      </c>
      <c r="L20" s="231">
        <v>-3278</v>
      </c>
      <c r="M20" s="132">
        <v>247</v>
      </c>
      <c r="N20" s="132">
        <v>1281</v>
      </c>
      <c r="O20" s="132">
        <v>-1720</v>
      </c>
      <c r="P20" s="132">
        <v>-1731</v>
      </c>
      <c r="Q20" s="231">
        <v>-1923</v>
      </c>
      <c r="R20" s="577"/>
    </row>
    <row r="21" spans="1:18" s="1" customFormat="1" ht="11.25">
      <c r="A21" s="62"/>
      <c r="B21" s="405" t="str">
        <f>names!A1482</f>
        <v>Pozostałe korekty</v>
      </c>
      <c r="C21" s="131">
        <v>-78</v>
      </c>
      <c r="D21" s="131">
        <v>-7</v>
      </c>
      <c r="E21" s="131">
        <v>-71</v>
      </c>
      <c r="F21" s="131">
        <f>-58-1</f>
        <v>-59</v>
      </c>
      <c r="G21" s="229">
        <v>-215</v>
      </c>
      <c r="H21" s="131">
        <v>-225</v>
      </c>
      <c r="I21" s="131">
        <v>-61</v>
      </c>
      <c r="J21" s="131">
        <v>101</v>
      </c>
      <c r="K21" s="131">
        <v>-175</v>
      </c>
      <c r="L21" s="229">
        <v>-360</v>
      </c>
      <c r="M21" s="131">
        <v>26</v>
      </c>
      <c r="N21" s="131">
        <v>-109</v>
      </c>
      <c r="O21" s="131">
        <v>-114</v>
      </c>
      <c r="P21" s="131">
        <v>-55</v>
      </c>
      <c r="Q21" s="229">
        <v>-252</v>
      </c>
      <c r="R21" s="577"/>
    </row>
    <row r="22" spans="1:18" s="1" customFormat="1" ht="12" thickBot="1">
      <c r="A22" s="62"/>
      <c r="B22" s="46" t="str">
        <f>names!A1483</f>
        <v>Podatek dochodowy (zapłacony)</v>
      </c>
      <c r="C22" s="131">
        <v>-2</v>
      </c>
      <c r="D22" s="131">
        <v>-21</v>
      </c>
      <c r="E22" s="131">
        <v>-40</v>
      </c>
      <c r="F22" s="131">
        <v>-44</v>
      </c>
      <c r="G22" s="229">
        <v>-107</v>
      </c>
      <c r="H22" s="131">
        <v>-57</v>
      </c>
      <c r="I22" s="131">
        <v>-4</v>
      </c>
      <c r="J22" s="131">
        <v>-43</v>
      </c>
      <c r="K22" s="131">
        <v>-64</v>
      </c>
      <c r="L22" s="229">
        <v>-168</v>
      </c>
      <c r="M22" s="131">
        <v>-87</v>
      </c>
      <c r="N22" s="131">
        <v>-18</v>
      </c>
      <c r="O22" s="131">
        <v>-51</v>
      </c>
      <c r="P22" s="131">
        <v>-48</v>
      </c>
      <c r="Q22" s="229">
        <v>-204</v>
      </c>
      <c r="R22" s="577"/>
    </row>
    <row r="23" spans="1:18" s="1" customFormat="1" ht="12" thickBot="1">
      <c r="A23" s="62"/>
      <c r="B23" s="404" t="str">
        <f>names!A1484</f>
        <v>Środki pieniężne netto z/(wykorzystane w) działalności operacyjnej</v>
      </c>
      <c r="C23" s="134">
        <f t="shared" ref="C23:H23" si="1">SUM(C7:C17,C21:C22)</f>
        <v>-1332</v>
      </c>
      <c r="D23" s="134">
        <f t="shared" si="1"/>
        <v>4289</v>
      </c>
      <c r="E23" s="134">
        <f t="shared" si="1"/>
        <v>1095</v>
      </c>
      <c r="F23" s="134">
        <f t="shared" si="1"/>
        <v>1488</v>
      </c>
      <c r="G23" s="185">
        <f t="shared" si="1"/>
        <v>5540</v>
      </c>
      <c r="H23" s="134">
        <f t="shared" si="1"/>
        <v>-3440</v>
      </c>
      <c r="I23" s="134">
        <f t="shared" ref="I23:O23" si="2">SUM(I7:I17,I21:I22)</f>
        <v>4055</v>
      </c>
      <c r="J23" s="134">
        <f t="shared" si="2"/>
        <v>2164</v>
      </c>
      <c r="K23" s="134">
        <f t="shared" si="2"/>
        <v>408</v>
      </c>
      <c r="L23" s="185">
        <f t="shared" si="2"/>
        <v>3187</v>
      </c>
      <c r="M23" s="134">
        <f t="shared" si="2"/>
        <v>980</v>
      </c>
      <c r="N23" s="134">
        <f t="shared" si="2"/>
        <v>2679</v>
      </c>
      <c r="O23" s="134">
        <f t="shared" si="2"/>
        <v>132</v>
      </c>
      <c r="P23" s="134">
        <v>1563</v>
      </c>
      <c r="Q23" s="185">
        <v>5354</v>
      </c>
      <c r="R23" s="577"/>
    </row>
    <row r="24" spans="1:18" s="1" customFormat="1" ht="11.25">
      <c r="A24" s="62"/>
      <c r="B24" s="406" t="str">
        <f>names!A1485</f>
        <v>Przepływy pieniężne z działalności inwestycyjnej</v>
      </c>
      <c r="C24" s="131"/>
      <c r="D24" s="131"/>
      <c r="E24" s="131"/>
      <c r="F24" s="131"/>
      <c r="G24" s="229"/>
      <c r="H24" s="131"/>
      <c r="I24" s="131"/>
      <c r="J24" s="131"/>
      <c r="K24" s="131"/>
      <c r="L24" s="229"/>
      <c r="M24" s="131"/>
      <c r="N24" s="131"/>
      <c r="O24" s="131"/>
      <c r="P24" s="131"/>
      <c r="Q24" s="229"/>
      <c r="R24" s="577"/>
    </row>
    <row r="25" spans="1:18" s="1" customFormat="1" ht="11.25">
      <c r="A25" s="62"/>
      <c r="B25" s="46" t="str">
        <f>names!A1486</f>
        <v>Nabycie składników rzeczowego majątku trwałego, 
wartości niematerialnych i praw wieczystego użytkowania gruntów</v>
      </c>
      <c r="C25" s="131">
        <v>-524</v>
      </c>
      <c r="D25" s="131">
        <v>-460</v>
      </c>
      <c r="E25" s="131">
        <v>-622</v>
      </c>
      <c r="F25" s="131">
        <v>-776</v>
      </c>
      <c r="G25" s="229">
        <v>-2382</v>
      </c>
      <c r="H25" s="131">
        <v>-761</v>
      </c>
      <c r="I25" s="131">
        <v>-943</v>
      </c>
      <c r="J25" s="131">
        <v>-973</v>
      </c>
      <c r="K25" s="131">
        <v>-1023</v>
      </c>
      <c r="L25" s="229">
        <v>-3700</v>
      </c>
      <c r="M25" s="131">
        <v>-616</v>
      </c>
      <c r="N25" s="131">
        <v>-629</v>
      </c>
      <c r="O25" s="131">
        <v>-605</v>
      </c>
      <c r="P25" s="131">
        <v>-1229</v>
      </c>
      <c r="Q25" s="229">
        <v>-3079</v>
      </c>
      <c r="R25" s="577"/>
    </row>
    <row r="26" spans="1:18" s="1" customFormat="1" ht="11.25">
      <c r="A26" s="62"/>
      <c r="B26" s="46" t="str">
        <f>names!A1487</f>
        <v>Sprzedaż składników rzeczowego majątku trwałego, 
wartości niematerialnych i praw wieczystego użytkowania gruntów</v>
      </c>
      <c r="C26" s="131">
        <v>91</v>
      </c>
      <c r="D26" s="131">
        <v>27</v>
      </c>
      <c r="E26" s="131">
        <v>15</v>
      </c>
      <c r="F26" s="131">
        <v>31</v>
      </c>
      <c r="G26" s="229">
        <v>164</v>
      </c>
      <c r="H26" s="131">
        <v>20</v>
      </c>
      <c r="I26" s="131">
        <v>321</v>
      </c>
      <c r="J26" s="131">
        <v>15</v>
      </c>
      <c r="K26" s="131">
        <v>44</v>
      </c>
      <c r="L26" s="229">
        <v>400</v>
      </c>
      <c r="M26" s="131">
        <v>43</v>
      </c>
      <c r="N26" s="131">
        <v>11</v>
      </c>
      <c r="O26" s="131">
        <v>16</v>
      </c>
      <c r="P26" s="131">
        <v>61</v>
      </c>
      <c r="Q26" s="229">
        <v>131</v>
      </c>
      <c r="R26" s="577"/>
    </row>
    <row r="27" spans="1:18" s="1" customFormat="1" ht="11.25">
      <c r="A27" s="62"/>
      <c r="B27" s="46" t="str">
        <f>names!A1488</f>
        <v>Nabycie akcji i udziałów skorygowane o przejęte środki pieniężne</v>
      </c>
      <c r="C27" s="131">
        <v>0</v>
      </c>
      <c r="D27" s="131">
        <v>-2</v>
      </c>
      <c r="E27" s="131">
        <v>0</v>
      </c>
      <c r="F27" s="131">
        <v>-534</v>
      </c>
      <c r="G27" s="229">
        <v>-536</v>
      </c>
      <c r="H27" s="131">
        <v>-62</v>
      </c>
      <c r="I27" s="131">
        <v>-683</v>
      </c>
      <c r="J27" s="131">
        <v>0</v>
      </c>
      <c r="K27" s="131">
        <v>-47</v>
      </c>
      <c r="L27" s="229">
        <v>-792</v>
      </c>
      <c r="M27" s="131">
        <v>0</v>
      </c>
      <c r="N27" s="131">
        <v>-35</v>
      </c>
      <c r="O27" s="131">
        <v>0</v>
      </c>
      <c r="P27" s="131">
        <v>-1160</v>
      </c>
      <c r="Q27" s="229">
        <v>-1195</v>
      </c>
      <c r="R27" s="577"/>
    </row>
    <row r="28" spans="1:18" s="1" customFormat="1" ht="11.25">
      <c r="A28" s="62"/>
      <c r="B28" s="46" t="str">
        <f>names!A1489</f>
        <v>Sprzedaż akcji i udziałów</v>
      </c>
      <c r="C28" s="131">
        <v>0</v>
      </c>
      <c r="D28" s="131">
        <v>0</v>
      </c>
      <c r="E28" s="131">
        <v>0</v>
      </c>
      <c r="F28" s="131">
        <v>0</v>
      </c>
      <c r="G28" s="229">
        <v>0</v>
      </c>
      <c r="H28" s="131">
        <v>0</v>
      </c>
      <c r="I28" s="131">
        <v>46</v>
      </c>
      <c r="J28" s="131">
        <v>2</v>
      </c>
      <c r="K28" s="131">
        <v>0</v>
      </c>
      <c r="L28" s="229">
        <v>48</v>
      </c>
      <c r="M28" s="131">
        <v>0</v>
      </c>
      <c r="N28" s="131">
        <v>1</v>
      </c>
      <c r="O28" s="131">
        <v>0</v>
      </c>
      <c r="P28" s="131">
        <v>0</v>
      </c>
      <c r="Q28" s="229">
        <v>1</v>
      </c>
      <c r="R28" s="577"/>
    </row>
    <row r="29" spans="1:18" s="1" customFormat="1" ht="11.25" hidden="1" outlineLevel="1">
      <c r="A29" s="62"/>
      <c r="B29" s="46" t="str">
        <f>names!A1490</f>
        <v>Nabycie papierów wartościowych i depozytów</v>
      </c>
      <c r="C29" s="131">
        <v>0</v>
      </c>
      <c r="D29" s="131">
        <v>0</v>
      </c>
      <c r="E29" s="131"/>
      <c r="F29" s="131">
        <v>0</v>
      </c>
      <c r="G29" s="229">
        <v>0</v>
      </c>
      <c r="H29" s="131">
        <v>0</v>
      </c>
      <c r="I29" s="131">
        <v>0</v>
      </c>
      <c r="J29" s="131">
        <v>0</v>
      </c>
      <c r="K29" s="131">
        <v>0</v>
      </c>
      <c r="L29" s="229">
        <v>0</v>
      </c>
      <c r="M29" s="131">
        <v>0</v>
      </c>
      <c r="N29" s="131">
        <v>0</v>
      </c>
      <c r="O29" s="131">
        <v>0</v>
      </c>
      <c r="P29" s="131">
        <v>0</v>
      </c>
      <c r="Q29" s="229">
        <v>0</v>
      </c>
      <c r="R29" s="577"/>
    </row>
    <row r="30" spans="1:18" s="1" customFormat="1" ht="11.25" hidden="1" outlineLevel="1">
      <c r="A30" s="62"/>
      <c r="B30" s="46" t="str">
        <f>names!A1491</f>
        <v>Sprzedaż papierów wartościowych i depozytów</v>
      </c>
      <c r="C30" s="131">
        <f>12-12</f>
        <v>0</v>
      </c>
      <c r="D30" s="131">
        <v>0</v>
      </c>
      <c r="E30" s="131">
        <v>0</v>
      </c>
      <c r="F30" s="131">
        <v>0</v>
      </c>
      <c r="G30" s="229">
        <v>0</v>
      </c>
      <c r="H30" s="131">
        <v>0</v>
      </c>
      <c r="I30" s="131">
        <v>0</v>
      </c>
      <c r="J30" s="131">
        <v>0</v>
      </c>
      <c r="K30" s="131">
        <v>0</v>
      </c>
      <c r="L30" s="229">
        <v>0</v>
      </c>
      <c r="M30" s="131">
        <v>0</v>
      </c>
      <c r="N30" s="131">
        <v>0</v>
      </c>
      <c r="O30" s="131">
        <v>0</v>
      </c>
      <c r="P30" s="131">
        <v>0</v>
      </c>
      <c r="Q30" s="229">
        <v>0</v>
      </c>
      <c r="R30" s="577"/>
    </row>
    <row r="31" spans="1:18" s="1" customFormat="1" ht="11.25" hidden="1" outlineLevel="1">
      <c r="A31" s="62"/>
      <c r="B31" s="46" t="str">
        <f>names!A1492</f>
        <v>Odsetki otrzymane</v>
      </c>
      <c r="C31" s="131">
        <v>0</v>
      </c>
      <c r="D31" s="131">
        <v>0</v>
      </c>
      <c r="E31" s="131">
        <v>0</v>
      </c>
      <c r="F31" s="131">
        <v>0</v>
      </c>
      <c r="G31" s="229">
        <v>0</v>
      </c>
      <c r="H31" s="131">
        <v>0</v>
      </c>
      <c r="I31" s="131">
        <v>0</v>
      </c>
      <c r="J31" s="131">
        <v>0</v>
      </c>
      <c r="K31" s="131">
        <v>0</v>
      </c>
      <c r="L31" s="229">
        <v>0</v>
      </c>
      <c r="M31" s="131">
        <v>0</v>
      </c>
      <c r="N31" s="131">
        <v>0</v>
      </c>
      <c r="O31" s="131">
        <v>0</v>
      </c>
      <c r="P31" s="131">
        <v>0</v>
      </c>
      <c r="Q31" s="229">
        <v>0</v>
      </c>
      <c r="R31" s="577"/>
    </row>
    <row r="32" spans="1:18" s="1" customFormat="1" ht="11.25" collapsed="1">
      <c r="A32" s="62"/>
      <c r="B32" s="46" t="str">
        <f>names!A1493</f>
        <v>Depozyty netto</v>
      </c>
      <c r="C32" s="131">
        <v>12</v>
      </c>
      <c r="D32" s="131">
        <v>5</v>
      </c>
      <c r="E32" s="131">
        <v>1</v>
      </c>
      <c r="F32" s="131">
        <v>1</v>
      </c>
      <c r="G32" s="229">
        <v>19</v>
      </c>
      <c r="H32" s="131">
        <v>3</v>
      </c>
      <c r="I32" s="131">
        <v>-2</v>
      </c>
      <c r="J32" s="131">
        <v>-29</v>
      </c>
      <c r="K32" s="131">
        <v>1</v>
      </c>
      <c r="L32" s="229">
        <v>-27</v>
      </c>
      <c r="M32" s="131">
        <v>1</v>
      </c>
      <c r="N32" s="131">
        <v>17</v>
      </c>
      <c r="O32" s="131">
        <v>2</v>
      </c>
      <c r="P32" s="131">
        <v>8</v>
      </c>
      <c r="Q32" s="229">
        <v>28</v>
      </c>
      <c r="R32" s="577"/>
    </row>
    <row r="33" spans="1:18" s="1" customFormat="1" ht="11.25">
      <c r="A33" s="62"/>
      <c r="B33" s="46" t="str">
        <f>names!A1494</f>
        <v>Dywidendy otrzymane</v>
      </c>
      <c r="C33" s="131">
        <v>0</v>
      </c>
      <c r="D33" s="131">
        <v>2</v>
      </c>
      <c r="E33" s="131">
        <v>20</v>
      </c>
      <c r="F33" s="131">
        <v>0</v>
      </c>
      <c r="G33" s="229">
        <v>22</v>
      </c>
      <c r="H33" s="131">
        <v>0</v>
      </c>
      <c r="I33" s="131">
        <v>2</v>
      </c>
      <c r="J33" s="131">
        <v>0</v>
      </c>
      <c r="K33" s="131">
        <v>0</v>
      </c>
      <c r="L33" s="229">
        <v>2</v>
      </c>
      <c r="M33" s="131">
        <v>0</v>
      </c>
      <c r="N33" s="131">
        <v>3</v>
      </c>
      <c r="O33" s="131">
        <v>115</v>
      </c>
      <c r="P33" s="131">
        <v>75</v>
      </c>
      <c r="Q33" s="229">
        <v>192</v>
      </c>
      <c r="R33" s="577"/>
    </row>
    <row r="34" spans="1:18" s="1" customFormat="1" ht="11.25">
      <c r="A34" s="62"/>
      <c r="B34" s="46" t="str">
        <f>names!A1495</f>
        <v>Wpływy/Wydatki z tytułu udzielonych pożyczek</v>
      </c>
      <c r="C34" s="131">
        <v>274</v>
      </c>
      <c r="D34" s="131">
        <v>-241</v>
      </c>
      <c r="E34" s="131">
        <v>242</v>
      </c>
      <c r="F34" s="131">
        <v>-3</v>
      </c>
      <c r="G34" s="229">
        <v>272</v>
      </c>
      <c r="H34" s="131">
        <v>2</v>
      </c>
      <c r="I34" s="131">
        <v>1</v>
      </c>
      <c r="J34" s="131">
        <v>2</v>
      </c>
      <c r="K34" s="131">
        <v>0</v>
      </c>
      <c r="L34" s="229">
        <v>5</v>
      </c>
      <c r="M34" s="131">
        <v>1</v>
      </c>
      <c r="N34" s="131">
        <v>0</v>
      </c>
      <c r="O34" s="131">
        <v>0</v>
      </c>
      <c r="P34" s="131">
        <v>0</v>
      </c>
      <c r="Q34" s="229">
        <v>1</v>
      </c>
      <c r="R34" s="577"/>
    </row>
    <row r="35" spans="1:18" s="1" customFormat="1" ht="12" thickBot="1">
      <c r="A35" s="62"/>
      <c r="B35" s="46" t="str">
        <f>names!A1496</f>
        <v>Pozostałe</v>
      </c>
      <c r="C35" s="131">
        <v>19</v>
      </c>
      <c r="D35" s="131">
        <v>33</v>
      </c>
      <c r="E35" s="131">
        <v>-72</v>
      </c>
      <c r="F35" s="131">
        <v>20</v>
      </c>
      <c r="G35" s="229">
        <v>0</v>
      </c>
      <c r="H35" s="131">
        <v>-18</v>
      </c>
      <c r="I35" s="131">
        <v>-6</v>
      </c>
      <c r="J35" s="131">
        <v>43</v>
      </c>
      <c r="K35" s="131">
        <v>25</v>
      </c>
      <c r="L35" s="229">
        <v>44</v>
      </c>
      <c r="M35" s="131">
        <v>3</v>
      </c>
      <c r="N35" s="131">
        <v>-118</v>
      </c>
      <c r="O35" s="131">
        <v>-119</v>
      </c>
      <c r="P35" s="131">
        <v>58</v>
      </c>
      <c r="Q35" s="229">
        <v>-175</v>
      </c>
      <c r="R35" s="577"/>
    </row>
    <row r="36" spans="1:18" s="1" customFormat="1" ht="12" customHeight="1" thickBot="1">
      <c r="A36" s="62"/>
      <c r="B36" s="404" t="str">
        <f>names!A1497</f>
        <v>Środki pieniężne netto z (wykorzystane w) działalności inwestycyjnej</v>
      </c>
      <c r="C36" s="134">
        <f t="shared" ref="C36:H36" si="3">SUM(C25:C35)</f>
        <v>-128</v>
      </c>
      <c r="D36" s="134">
        <f t="shared" si="3"/>
        <v>-636</v>
      </c>
      <c r="E36" s="134">
        <f t="shared" si="3"/>
        <v>-416</v>
      </c>
      <c r="F36" s="134">
        <f t="shared" si="3"/>
        <v>-1261</v>
      </c>
      <c r="G36" s="185">
        <f t="shared" si="3"/>
        <v>-2441</v>
      </c>
      <c r="H36" s="134">
        <f t="shared" si="3"/>
        <v>-816</v>
      </c>
      <c r="I36" s="134">
        <f t="shared" ref="I36:O36" si="4">SUM(I25:I35)</f>
        <v>-1264</v>
      </c>
      <c r="J36" s="134">
        <f t="shared" si="4"/>
        <v>-940</v>
      </c>
      <c r="K36" s="134">
        <f t="shared" si="4"/>
        <v>-1000</v>
      </c>
      <c r="L36" s="185">
        <f t="shared" si="4"/>
        <v>-4020</v>
      </c>
      <c r="M36" s="134">
        <f t="shared" si="4"/>
        <v>-568</v>
      </c>
      <c r="N36" s="134">
        <f t="shared" si="4"/>
        <v>-750</v>
      </c>
      <c r="O36" s="134">
        <f t="shared" si="4"/>
        <v>-591</v>
      </c>
      <c r="P36" s="134">
        <v>-2187</v>
      </c>
      <c r="Q36" s="185">
        <v>-4096</v>
      </c>
      <c r="R36" s="577"/>
    </row>
    <row r="37" spans="1:18" s="1" customFormat="1" ht="11.25">
      <c r="A37" s="62"/>
      <c r="B37" s="406" t="str">
        <f>names!A1498</f>
        <v>Przepływy pieniężne z działalności finansowej</v>
      </c>
      <c r="C37" s="135"/>
      <c r="D37" s="135"/>
      <c r="E37" s="135"/>
      <c r="F37" s="135"/>
      <c r="G37" s="232"/>
      <c r="H37" s="135"/>
      <c r="I37" s="135"/>
      <c r="J37" s="135"/>
      <c r="K37" s="135"/>
      <c r="L37" s="232"/>
      <c r="M37" s="135"/>
      <c r="N37" s="135"/>
      <c r="O37" s="135"/>
      <c r="P37" s="135"/>
      <c r="Q37" s="232"/>
      <c r="R37" s="577"/>
    </row>
    <row r="38" spans="1:18" s="1" customFormat="1" ht="11.25">
      <c r="A38" s="62"/>
      <c r="B38" s="46" t="str">
        <f>names!A1499</f>
        <v>Wpływy z otrzymanych kredytów i pożyczek</v>
      </c>
      <c r="C38" s="131">
        <v>2994</v>
      </c>
      <c r="D38" s="131">
        <v>44</v>
      </c>
      <c r="E38" s="131">
        <v>367</v>
      </c>
      <c r="F38" s="131">
        <v>184</v>
      </c>
      <c r="G38" s="229">
        <v>3589</v>
      </c>
      <c r="H38" s="131">
        <v>3401</v>
      </c>
      <c r="I38" s="131">
        <v>4965</v>
      </c>
      <c r="J38" s="131">
        <v>502</v>
      </c>
      <c r="K38" s="131">
        <v>771</v>
      </c>
      <c r="L38" s="229">
        <v>9639</v>
      </c>
      <c r="M38" s="131">
        <v>71</v>
      </c>
      <c r="N38" s="131">
        <v>304</v>
      </c>
      <c r="O38" s="131">
        <v>1989</v>
      </c>
      <c r="P38" s="131">
        <v>288</v>
      </c>
      <c r="Q38" s="229">
        <v>1896</v>
      </c>
      <c r="R38" s="577"/>
    </row>
    <row r="39" spans="1:18" s="1" customFormat="1" ht="11.25">
      <c r="A39" s="62"/>
      <c r="B39" s="46" t="str">
        <f>names!A1500</f>
        <v>Emisja obligacji</v>
      </c>
      <c r="C39" s="131">
        <v>0</v>
      </c>
      <c r="D39" s="131">
        <v>400</v>
      </c>
      <c r="E39" s="131">
        <v>0</v>
      </c>
      <c r="F39" s="131">
        <v>300</v>
      </c>
      <c r="G39" s="229">
        <v>700</v>
      </c>
      <c r="H39" s="131">
        <v>0</v>
      </c>
      <c r="I39" s="131">
        <v>2350</v>
      </c>
      <c r="J39" s="131">
        <v>0</v>
      </c>
      <c r="K39" s="131">
        <v>0</v>
      </c>
      <c r="L39" s="229">
        <v>2350</v>
      </c>
      <c r="M39" s="131">
        <v>0</v>
      </c>
      <c r="N39" s="131">
        <v>0</v>
      </c>
      <c r="O39" s="131">
        <v>0</v>
      </c>
      <c r="P39" s="131">
        <v>0</v>
      </c>
      <c r="Q39" s="229">
        <v>0</v>
      </c>
      <c r="R39" s="577"/>
    </row>
    <row r="40" spans="1:18" s="1" customFormat="1" ht="11.25">
      <c r="A40" s="62"/>
      <c r="B40" s="409" t="str">
        <f>names!A1501</f>
        <v>Spłaty kredytów i pożyczek</v>
      </c>
      <c r="C40" s="131">
        <v>-2328</v>
      </c>
      <c r="D40" s="131">
        <v>-761</v>
      </c>
      <c r="E40" s="131">
        <v>-2233</v>
      </c>
      <c r="F40" s="131">
        <v>-111</v>
      </c>
      <c r="G40" s="229">
        <v>-5433</v>
      </c>
      <c r="H40" s="131">
        <v>-1009</v>
      </c>
      <c r="I40" s="131">
        <v>-5486</v>
      </c>
      <c r="J40" s="131">
        <v>-1354</v>
      </c>
      <c r="K40" s="131">
        <v>-1174</v>
      </c>
      <c r="L40" s="229">
        <v>-9023</v>
      </c>
      <c r="M40" s="131">
        <v>-1275</v>
      </c>
      <c r="N40" s="131">
        <v>-1078</v>
      </c>
      <c r="O40" s="131">
        <v>-72</v>
      </c>
      <c r="P40" s="131">
        <v>-2102</v>
      </c>
      <c r="Q40" s="229">
        <v>-3771</v>
      </c>
      <c r="R40" s="577"/>
    </row>
    <row r="41" spans="1:18" s="1" customFormat="1" ht="11.25">
      <c r="A41" s="62"/>
      <c r="B41" s="46" t="str">
        <f>names!A1502</f>
        <v>Wykup dłużnych papierów wartościowych</v>
      </c>
      <c r="C41" s="131">
        <v>0</v>
      </c>
      <c r="D41" s="131">
        <v>0</v>
      </c>
      <c r="E41" s="131">
        <v>0</v>
      </c>
      <c r="F41" s="131">
        <v>-304</v>
      </c>
      <c r="G41" s="229">
        <v>-304</v>
      </c>
      <c r="H41" s="131">
        <v>0</v>
      </c>
      <c r="I41" s="131">
        <v>0</v>
      </c>
      <c r="J41" s="131">
        <v>0</v>
      </c>
      <c r="K41" s="131">
        <v>0</v>
      </c>
      <c r="L41" s="229">
        <v>0</v>
      </c>
      <c r="M41" s="131">
        <v>0</v>
      </c>
      <c r="N41" s="131">
        <v>0</v>
      </c>
      <c r="O41" s="131">
        <v>0</v>
      </c>
      <c r="P41" s="131">
        <v>0</v>
      </c>
      <c r="Q41" s="229">
        <v>0</v>
      </c>
      <c r="R41" s="577"/>
    </row>
    <row r="42" spans="1:18" s="1" customFormat="1" ht="11.25">
      <c r="A42" s="62"/>
      <c r="B42" s="46" t="str">
        <f>names!A1503</f>
        <v xml:space="preserve">Odsetki zapłacone </v>
      </c>
      <c r="C42" s="131">
        <v>-80</v>
      </c>
      <c r="D42" s="131">
        <v>-60</v>
      </c>
      <c r="E42" s="131">
        <v>-80</v>
      </c>
      <c r="F42" s="131">
        <v>-90</v>
      </c>
      <c r="G42" s="229">
        <v>-310</v>
      </c>
      <c r="H42" s="131">
        <v>-60</v>
      </c>
      <c r="I42" s="131">
        <v>-76</v>
      </c>
      <c r="J42" s="131">
        <v>-60</v>
      </c>
      <c r="K42" s="131">
        <v>-49</v>
      </c>
      <c r="L42" s="229">
        <v>-245</v>
      </c>
      <c r="M42" s="131">
        <v>-54</v>
      </c>
      <c r="N42" s="131">
        <v>-98</v>
      </c>
      <c r="O42" s="131">
        <v>-56</v>
      </c>
      <c r="P42" s="131">
        <v>-50</v>
      </c>
      <c r="Q42" s="229">
        <v>-258</v>
      </c>
      <c r="R42" s="577"/>
    </row>
    <row r="43" spans="1:18" s="1" customFormat="1" ht="11.25">
      <c r="A43" s="62"/>
      <c r="B43" s="46" t="str">
        <f>names!A1504</f>
        <v>Dywidendy wypłacone</v>
      </c>
      <c r="C43" s="131">
        <v>0</v>
      </c>
      <c r="D43" s="131">
        <v>0</v>
      </c>
      <c r="E43" s="131">
        <f>-643+1</f>
        <v>-642</v>
      </c>
      <c r="F43" s="131">
        <v>0</v>
      </c>
      <c r="G43" s="229">
        <v>-642</v>
      </c>
      <c r="H43" s="131">
        <v>0</v>
      </c>
      <c r="I43" s="131">
        <v>0</v>
      </c>
      <c r="J43" s="131">
        <v>-617</v>
      </c>
      <c r="K43" s="131">
        <v>0</v>
      </c>
      <c r="L43" s="229">
        <v>-617</v>
      </c>
      <c r="M43" s="131">
        <v>0</v>
      </c>
      <c r="N43" s="131">
        <v>0</v>
      </c>
      <c r="O43" s="131">
        <v>-706</v>
      </c>
      <c r="P43" s="131">
        <v>0</v>
      </c>
      <c r="Q43" s="229">
        <v>-706</v>
      </c>
      <c r="R43" s="577"/>
    </row>
    <row r="44" spans="1:18" s="1" customFormat="1" ht="11.25">
      <c r="A44" s="62"/>
      <c r="B44" s="46" t="str">
        <f>names!A1505</f>
        <v>Płatności  zobowiązań  z  tytułu  umów  leasingu  finansowego</v>
      </c>
      <c r="C44" s="131">
        <v>-7</v>
      </c>
      <c r="D44" s="131">
        <v>-7</v>
      </c>
      <c r="E44" s="131">
        <v>-7</v>
      </c>
      <c r="F44" s="131">
        <v>-7</v>
      </c>
      <c r="G44" s="229">
        <v>-28</v>
      </c>
      <c r="H44" s="131">
        <v>-8</v>
      </c>
      <c r="I44" s="131">
        <v>-8</v>
      </c>
      <c r="J44" s="131">
        <v>-8</v>
      </c>
      <c r="K44" s="131">
        <v>-6</v>
      </c>
      <c r="L44" s="229">
        <v>-30</v>
      </c>
      <c r="M44" s="131">
        <v>-7</v>
      </c>
      <c r="N44" s="131">
        <v>-6</v>
      </c>
      <c r="O44" s="131">
        <v>-8</v>
      </c>
      <c r="P44" s="131">
        <v>-7</v>
      </c>
      <c r="Q44" s="229">
        <v>-28</v>
      </c>
      <c r="R44" s="577"/>
    </row>
    <row r="45" spans="1:18" s="1" customFormat="1" ht="11.25">
      <c r="A45" s="62"/>
      <c r="B45" s="46" t="str">
        <f>names!A1506</f>
        <v>Otrzymane dotacje</v>
      </c>
      <c r="C45" s="131">
        <v>0</v>
      </c>
      <c r="D45" s="131">
        <v>0</v>
      </c>
      <c r="E45" s="131">
        <v>0</v>
      </c>
      <c r="F45" s="131">
        <v>1</v>
      </c>
      <c r="G45" s="229">
        <v>1</v>
      </c>
      <c r="H45" s="131">
        <v>0</v>
      </c>
      <c r="I45" s="131">
        <v>0</v>
      </c>
      <c r="J45" s="131">
        <v>0</v>
      </c>
      <c r="K45" s="131">
        <v>10</v>
      </c>
      <c r="L45" s="229">
        <v>10</v>
      </c>
      <c r="M45" s="131">
        <v>0</v>
      </c>
      <c r="N45" s="131">
        <v>0</v>
      </c>
      <c r="O45" s="131">
        <v>0</v>
      </c>
      <c r="P45" s="131">
        <v>1</v>
      </c>
      <c r="Q45" s="229">
        <v>1</v>
      </c>
      <c r="R45" s="577"/>
    </row>
    <row r="46" spans="1:18" s="1" customFormat="1" ht="12" thickBot="1">
      <c r="A46" s="62"/>
      <c r="B46" s="46" t="str">
        <f>names!A1507</f>
        <v>Pozostałe</v>
      </c>
      <c r="C46" s="131">
        <v>-3</v>
      </c>
      <c r="D46" s="131">
        <v>-1</v>
      </c>
      <c r="E46" s="131">
        <f>-3-1</f>
        <v>-4</v>
      </c>
      <c r="F46" s="131">
        <f>-2-1</f>
        <v>-3</v>
      </c>
      <c r="G46" s="229">
        <v>-11</v>
      </c>
      <c r="H46" s="131">
        <v>0</v>
      </c>
      <c r="I46" s="131">
        <v>-2</v>
      </c>
      <c r="J46" s="131">
        <v>0</v>
      </c>
      <c r="K46" s="131">
        <v>1</v>
      </c>
      <c r="L46" s="229">
        <v>-1</v>
      </c>
      <c r="M46" s="131">
        <v>0</v>
      </c>
      <c r="N46" s="131">
        <v>0</v>
      </c>
      <c r="O46" s="131">
        <v>3</v>
      </c>
      <c r="P46" s="131">
        <v>-3</v>
      </c>
      <c r="Q46" s="229">
        <v>0</v>
      </c>
      <c r="R46" s="577"/>
    </row>
    <row r="47" spans="1:18" s="1" customFormat="1" ht="12" thickBot="1">
      <c r="A47" s="62"/>
      <c r="B47" s="404" t="str">
        <f>names!A1508</f>
        <v>Środki pieniężne netto z/(wykorzystane w) działalności finansowej</v>
      </c>
      <c r="C47" s="134">
        <f t="shared" ref="C47:H47" si="5">SUM(C38:C46)</f>
        <v>576</v>
      </c>
      <c r="D47" s="134">
        <f t="shared" si="5"/>
        <v>-385</v>
      </c>
      <c r="E47" s="134">
        <f t="shared" si="5"/>
        <v>-2599</v>
      </c>
      <c r="F47" s="134">
        <f t="shared" si="5"/>
        <v>-30</v>
      </c>
      <c r="G47" s="185">
        <f t="shared" si="5"/>
        <v>-2438</v>
      </c>
      <c r="H47" s="134">
        <f t="shared" si="5"/>
        <v>2324</v>
      </c>
      <c r="I47" s="134">
        <f t="shared" ref="I47:O47" si="6">SUM(I38:I46)</f>
        <v>1743</v>
      </c>
      <c r="J47" s="134">
        <f t="shared" si="6"/>
        <v>-1537</v>
      </c>
      <c r="K47" s="134">
        <f t="shared" si="6"/>
        <v>-447</v>
      </c>
      <c r="L47" s="185">
        <f t="shared" si="6"/>
        <v>2083</v>
      </c>
      <c r="M47" s="134">
        <f t="shared" si="6"/>
        <v>-1265</v>
      </c>
      <c r="N47" s="134">
        <f t="shared" si="6"/>
        <v>-878</v>
      </c>
      <c r="O47" s="134">
        <f t="shared" si="6"/>
        <v>1150</v>
      </c>
      <c r="P47" s="134">
        <v>-1873</v>
      </c>
      <c r="Q47" s="185">
        <v>-2866</v>
      </c>
      <c r="R47" s="577"/>
    </row>
    <row r="48" spans="1:18" s="55" customFormat="1" ht="11.25">
      <c r="A48" s="64"/>
      <c r="B48" s="410"/>
      <c r="C48" s="136"/>
      <c r="D48" s="136"/>
      <c r="E48" s="136"/>
      <c r="F48" s="136"/>
      <c r="G48" s="233"/>
      <c r="H48" s="136"/>
      <c r="I48" s="136"/>
      <c r="J48" s="136"/>
      <c r="K48" s="136"/>
      <c r="L48" s="233"/>
      <c r="M48" s="136"/>
      <c r="N48" s="136"/>
      <c r="O48" s="136"/>
      <c r="P48" s="136"/>
      <c r="Q48" s="233"/>
      <c r="R48" s="577"/>
    </row>
    <row r="49" spans="1:18" s="1" customFormat="1" ht="11.25">
      <c r="A49" s="62"/>
      <c r="B49" s="402" t="str">
        <f>names!A1510</f>
        <v>Zwiększenie/(Zmniejszenie) netto stanu środków pieniężnych i ich ekwiwalentów</v>
      </c>
      <c r="C49" s="130">
        <f t="shared" ref="C49:L49" si="7">C23+C36+C47</f>
        <v>-884</v>
      </c>
      <c r="D49" s="130">
        <f t="shared" si="7"/>
        <v>3268</v>
      </c>
      <c r="E49" s="130">
        <f t="shared" si="7"/>
        <v>-1920</v>
      </c>
      <c r="F49" s="130">
        <f t="shared" si="7"/>
        <v>197</v>
      </c>
      <c r="G49" s="228">
        <f t="shared" si="7"/>
        <v>661</v>
      </c>
      <c r="H49" s="130">
        <f t="shared" si="7"/>
        <v>-1932</v>
      </c>
      <c r="I49" s="130">
        <f t="shared" si="7"/>
        <v>4534</v>
      </c>
      <c r="J49" s="130">
        <f t="shared" si="7"/>
        <v>-313</v>
      </c>
      <c r="K49" s="130">
        <f t="shared" si="7"/>
        <v>-1039</v>
      </c>
      <c r="L49" s="228">
        <f t="shared" si="7"/>
        <v>1250</v>
      </c>
      <c r="M49" s="130">
        <f>M23+M36+M47</f>
        <v>-853</v>
      </c>
      <c r="N49" s="130">
        <f>N23+N36+N47</f>
        <v>1051</v>
      </c>
      <c r="O49" s="130">
        <f>O23+O36+O47</f>
        <v>691</v>
      </c>
      <c r="P49" s="130">
        <v>-2497</v>
      </c>
      <c r="Q49" s="228">
        <v>-1608</v>
      </c>
      <c r="R49" s="577"/>
    </row>
    <row r="50" spans="1:18" s="1" customFormat="1" ht="11.25">
      <c r="A50" s="123"/>
      <c r="B50" s="403" t="str">
        <f>names!A1511</f>
        <v>Zmiana stanu środków pieniężnych i ich ekwiwalentów z tytułu różnic kursowych</v>
      </c>
      <c r="C50" s="133">
        <v>0</v>
      </c>
      <c r="D50" s="133">
        <v>1</v>
      </c>
      <c r="E50" s="133">
        <v>-2</v>
      </c>
      <c r="F50" s="133">
        <v>0</v>
      </c>
      <c r="G50" s="230">
        <v>-1</v>
      </c>
      <c r="H50" s="133">
        <v>1</v>
      </c>
      <c r="I50" s="133">
        <v>3</v>
      </c>
      <c r="J50" s="133">
        <v>-1</v>
      </c>
      <c r="K50" s="133">
        <v>-5</v>
      </c>
      <c r="L50" s="230">
        <v>-2</v>
      </c>
      <c r="M50" s="133">
        <v>6</v>
      </c>
      <c r="N50" s="133">
        <v>-1</v>
      </c>
      <c r="O50" s="133">
        <v>38</v>
      </c>
      <c r="P50" s="133">
        <v>-24</v>
      </c>
      <c r="Q50" s="230">
        <v>19</v>
      </c>
      <c r="R50" s="577"/>
    </row>
    <row r="51" spans="1:18" s="1" customFormat="1" ht="11.25">
      <c r="A51" s="123"/>
      <c r="B51" s="403" t="str">
        <f>names!A1512</f>
        <v>Środki  pieniężne i ich  ekwiwalenty  na  początek  okresu</v>
      </c>
      <c r="C51" s="133">
        <v>2029</v>
      </c>
      <c r="D51" s="133">
        <v>1145</v>
      </c>
      <c r="E51" s="133">
        <v>4414</v>
      </c>
      <c r="F51" s="133">
        <v>2492</v>
      </c>
      <c r="G51" s="230">
        <v>2029</v>
      </c>
      <c r="H51" s="133">
        <v>2689</v>
      </c>
      <c r="I51" s="133">
        <v>758</v>
      </c>
      <c r="J51" s="133">
        <v>5295</v>
      </c>
      <c r="K51" s="133">
        <v>4981</v>
      </c>
      <c r="L51" s="230">
        <v>2689</v>
      </c>
      <c r="M51" s="133">
        <v>3937</v>
      </c>
      <c r="N51" s="133">
        <v>3090</v>
      </c>
      <c r="O51" s="133">
        <v>4140</v>
      </c>
      <c r="P51" s="133">
        <v>4869</v>
      </c>
      <c r="Q51" s="230">
        <v>3937</v>
      </c>
      <c r="R51" s="577"/>
    </row>
    <row r="52" spans="1:18" s="55" customFormat="1" ht="12" thickBot="1">
      <c r="A52" s="64"/>
      <c r="B52" s="411"/>
      <c r="C52" s="137"/>
      <c r="D52" s="137"/>
      <c r="E52" s="137"/>
      <c r="F52" s="137"/>
      <c r="G52" s="234"/>
      <c r="H52" s="137"/>
      <c r="I52" s="137"/>
      <c r="J52" s="137"/>
      <c r="K52" s="137"/>
      <c r="L52" s="234"/>
      <c r="M52" s="137"/>
      <c r="N52" s="137"/>
      <c r="O52" s="137"/>
      <c r="P52" s="137"/>
      <c r="Q52" s="234"/>
      <c r="R52" s="577"/>
    </row>
    <row r="53" spans="1:18" s="1" customFormat="1" ht="12" thickBot="1">
      <c r="A53" s="62"/>
      <c r="B53" s="404" t="str">
        <f>names!A1514</f>
        <v>Środki pieniężne i ich ekwiwalenty na koniec okresu</v>
      </c>
      <c r="C53" s="134">
        <f t="shared" ref="C53:H53" si="8">C49+C50+C51</f>
        <v>1145</v>
      </c>
      <c r="D53" s="134">
        <f t="shared" si="8"/>
        <v>4414</v>
      </c>
      <c r="E53" s="134">
        <f t="shared" si="8"/>
        <v>2492</v>
      </c>
      <c r="F53" s="134">
        <f t="shared" si="8"/>
        <v>2689</v>
      </c>
      <c r="G53" s="185">
        <f t="shared" si="8"/>
        <v>2689</v>
      </c>
      <c r="H53" s="134">
        <f t="shared" si="8"/>
        <v>758</v>
      </c>
      <c r="I53" s="134">
        <f t="shared" ref="I53:O53" si="9">I49+I50+I51</f>
        <v>5295</v>
      </c>
      <c r="J53" s="134">
        <f t="shared" si="9"/>
        <v>4981</v>
      </c>
      <c r="K53" s="134">
        <f t="shared" si="9"/>
        <v>3937</v>
      </c>
      <c r="L53" s="185">
        <f t="shared" si="9"/>
        <v>3937</v>
      </c>
      <c r="M53" s="134">
        <f t="shared" si="9"/>
        <v>3090</v>
      </c>
      <c r="N53" s="134">
        <f t="shared" si="9"/>
        <v>4140</v>
      </c>
      <c r="O53" s="134">
        <f t="shared" si="9"/>
        <v>4869</v>
      </c>
      <c r="P53" s="134">
        <v>2348</v>
      </c>
      <c r="Q53" s="185">
        <v>2348</v>
      </c>
      <c r="R53" s="577"/>
    </row>
    <row r="54" spans="1:18" ht="25.5" customHeight="1">
      <c r="A54" s="28"/>
      <c r="B54" s="1013" t="str">
        <f>names!A1515</f>
        <v>*) Dane przekształcone – zmiana metody konsolidacji spółek Basell ORLEN Polyolefines Sp. z o.o. i Płocki Park Przemysłowo-Technologiczny S.A. zgodnie z MSSF 11.</v>
      </c>
      <c r="C54" s="1012"/>
      <c r="D54" s="1012"/>
      <c r="E54" s="1012"/>
      <c r="F54" s="1012"/>
      <c r="G54" s="1012"/>
      <c r="H54" s="1012"/>
      <c r="I54" s="1012"/>
      <c r="J54" s="1012"/>
      <c r="K54" s="1012"/>
      <c r="L54" s="1012"/>
      <c r="M54" s="1012"/>
      <c r="N54" s="1012"/>
      <c r="O54" s="1012"/>
      <c r="P54" s="1012"/>
      <c r="Q54" s="1012"/>
      <c r="R54" s="577"/>
    </row>
    <row r="55" spans="1:18">
      <c r="A55" s="28"/>
      <c r="C55" s="183"/>
      <c r="D55" s="183"/>
      <c r="E55" s="183"/>
      <c r="F55" s="183"/>
      <c r="G55" s="183"/>
      <c r="H55" s="183"/>
      <c r="I55" s="183"/>
      <c r="J55" s="183"/>
      <c r="K55" s="183"/>
      <c r="L55" s="183"/>
      <c r="M55" s="183"/>
      <c r="O55" s="183"/>
      <c r="P55" s="183"/>
      <c r="Q55" s="183"/>
    </row>
    <row r="56" spans="1:18">
      <c r="A56" s="28"/>
      <c r="B56" s="577"/>
      <c r="C56" s="577"/>
      <c r="D56" s="577"/>
      <c r="E56" s="577"/>
      <c r="F56" s="577"/>
      <c r="G56" s="577"/>
      <c r="H56" s="577"/>
      <c r="I56" s="577"/>
      <c r="J56" s="577"/>
      <c r="K56" s="577"/>
      <c r="L56" s="577"/>
      <c r="M56" s="577"/>
      <c r="N56" s="577"/>
      <c r="O56" s="577"/>
      <c r="P56" s="577"/>
      <c r="Q56" s="577"/>
    </row>
    <row r="57" spans="1:18">
      <c r="A57" s="28"/>
      <c r="C57" s="21"/>
      <c r="D57" s="21"/>
      <c r="E57" s="21"/>
      <c r="F57" s="21"/>
      <c r="G57" s="21"/>
      <c r="H57" s="21"/>
      <c r="I57" s="21"/>
      <c r="J57" s="21"/>
      <c r="K57" s="21"/>
      <c r="L57" s="21"/>
      <c r="M57" s="21"/>
      <c r="N57" s="21"/>
      <c r="O57" s="21"/>
      <c r="P57" s="21"/>
      <c r="Q57" s="21"/>
    </row>
    <row r="58" spans="1:18">
      <c r="A58" s="28"/>
      <c r="B58" s="46"/>
      <c r="C58" s="23"/>
      <c r="D58" s="23"/>
      <c r="E58" s="23"/>
      <c r="F58" s="23"/>
      <c r="G58" s="23"/>
      <c r="H58" s="23"/>
      <c r="I58" s="23"/>
      <c r="J58" s="23"/>
      <c r="K58" s="23"/>
      <c r="L58" s="23"/>
      <c r="M58" s="23"/>
      <c r="N58" s="23"/>
      <c r="O58" s="23"/>
      <c r="P58" s="23"/>
      <c r="Q58" s="23"/>
    </row>
    <row r="59" spans="1:18">
      <c r="A59" s="28"/>
      <c r="B59" s="46"/>
      <c r="C59" s="23"/>
      <c r="D59" s="23"/>
      <c r="E59" s="23"/>
      <c r="F59" s="23"/>
      <c r="G59" s="23"/>
      <c r="H59" s="23"/>
      <c r="I59" s="23"/>
      <c r="J59" s="23"/>
      <c r="K59" s="23"/>
      <c r="L59" s="23"/>
      <c r="M59" s="23"/>
      <c r="N59" s="23"/>
      <c r="O59" s="23"/>
      <c r="P59" s="23"/>
      <c r="Q59" s="23"/>
    </row>
    <row r="60" spans="1:18">
      <c r="A60" s="28"/>
      <c r="B60" s="46"/>
      <c r="C60" s="23"/>
      <c r="D60" s="23"/>
      <c r="E60" s="23"/>
      <c r="F60" s="23"/>
      <c r="G60" s="23"/>
      <c r="H60" s="23"/>
      <c r="I60" s="23"/>
      <c r="J60" s="23"/>
      <c r="K60" s="23"/>
      <c r="L60" s="23"/>
      <c r="M60" s="23"/>
      <c r="N60" s="23"/>
      <c r="O60" s="23"/>
      <c r="P60" s="23"/>
      <c r="Q60" s="23"/>
    </row>
    <row r="61" spans="1:18">
      <c r="A61" s="28"/>
      <c r="B61" s="46"/>
      <c r="C61" s="23"/>
      <c r="D61" s="23"/>
      <c r="E61" s="23"/>
      <c r="F61" s="23"/>
      <c r="G61" s="23"/>
      <c r="H61" s="23"/>
      <c r="I61" s="23"/>
      <c r="J61" s="23"/>
      <c r="K61" s="23"/>
      <c r="L61" s="23"/>
      <c r="M61" s="23"/>
      <c r="N61" s="23"/>
      <c r="O61" s="23"/>
      <c r="P61" s="23"/>
      <c r="Q61" s="23"/>
    </row>
    <row r="62" spans="1:18">
      <c r="A62" s="28"/>
      <c r="B62" s="46"/>
      <c r="C62" s="23"/>
      <c r="D62" s="23"/>
      <c r="E62" s="23"/>
      <c r="F62" s="23"/>
      <c r="G62" s="23"/>
      <c r="H62" s="23"/>
      <c r="I62" s="23"/>
      <c r="J62" s="23"/>
      <c r="K62" s="23"/>
      <c r="L62" s="23"/>
      <c r="M62" s="23"/>
      <c r="N62" s="23"/>
      <c r="O62" s="23"/>
      <c r="P62" s="23"/>
      <c r="Q62" s="23"/>
    </row>
    <row r="63" spans="1:18">
      <c r="A63" s="28"/>
      <c r="B63" s="46"/>
      <c r="C63" s="23"/>
      <c r="D63" s="23"/>
      <c r="E63" s="23"/>
      <c r="F63" s="23"/>
      <c r="G63" s="23"/>
      <c r="H63" s="23"/>
      <c r="I63" s="23"/>
      <c r="J63" s="23"/>
      <c r="K63" s="23"/>
      <c r="L63" s="23"/>
      <c r="M63" s="23"/>
      <c r="N63" s="23"/>
      <c r="O63" s="23"/>
      <c r="P63" s="23"/>
      <c r="Q63" s="23"/>
    </row>
    <row r="64" spans="1:18">
      <c r="A64" s="28"/>
      <c r="B64" s="46"/>
      <c r="C64" s="23"/>
      <c r="D64" s="23"/>
      <c r="E64" s="23"/>
      <c r="F64" s="23"/>
      <c r="G64" s="23"/>
      <c r="H64" s="23"/>
      <c r="I64" s="23"/>
      <c r="J64" s="23"/>
      <c r="K64" s="23"/>
      <c r="L64" s="23"/>
      <c r="M64" s="23"/>
      <c r="N64" s="23"/>
      <c r="O64" s="23"/>
      <c r="P64" s="23"/>
      <c r="Q64" s="23"/>
    </row>
    <row r="65" spans="1:17">
      <c r="A65" s="28"/>
      <c r="B65" s="46"/>
      <c r="C65" s="23"/>
      <c r="D65" s="23"/>
      <c r="E65" s="23"/>
      <c r="F65" s="23"/>
      <c r="G65" s="23"/>
      <c r="H65" s="23"/>
      <c r="I65" s="23"/>
      <c r="J65" s="23"/>
      <c r="K65" s="23"/>
      <c r="L65" s="23"/>
      <c r="M65" s="23"/>
      <c r="N65" s="23"/>
      <c r="O65" s="23"/>
      <c r="P65" s="23"/>
      <c r="Q65" s="23"/>
    </row>
    <row r="66" spans="1:17">
      <c r="A66" s="28"/>
      <c r="B66" s="46"/>
    </row>
    <row r="67" spans="1:17">
      <c r="A67" s="28"/>
    </row>
    <row r="68" spans="1:17">
      <c r="A68" s="28"/>
    </row>
    <row r="69" spans="1:17">
      <c r="A69" s="28"/>
    </row>
    <row r="70" spans="1:17">
      <c r="A70" s="28"/>
    </row>
    <row r="71" spans="1:17">
      <c r="A71" s="28"/>
    </row>
    <row r="72" spans="1:17">
      <c r="A72" s="28"/>
    </row>
    <row r="73" spans="1:17">
      <c r="A73" s="28"/>
    </row>
    <row r="74" spans="1:17">
      <c r="A74" s="28"/>
    </row>
    <row r="75" spans="1:17">
      <c r="A75" s="28"/>
    </row>
    <row r="76" spans="1:17">
      <c r="A76" s="28"/>
    </row>
    <row r="77" spans="1:17">
      <c r="A77" s="28"/>
    </row>
    <row r="78" spans="1:17">
      <c r="A78" s="28"/>
    </row>
    <row r="79" spans="1:17">
      <c r="A79" s="28"/>
    </row>
    <row r="80" spans="1:17">
      <c r="A80" s="28"/>
    </row>
    <row r="81" spans="1:1">
      <c r="A81" s="28"/>
    </row>
    <row r="82" spans="1:1">
      <c r="A82" s="28"/>
    </row>
  </sheetData>
  <mergeCells count="1">
    <mergeCell ref="B54:Q54"/>
  </mergeCells>
  <conditionalFormatting sqref="B56:Q56">
    <cfRule type="cellIs" dxfId="29" priority="2" operator="equal">
      <formula>FALSE</formula>
    </cfRule>
  </conditionalFormatting>
  <conditionalFormatting sqref="R2:R54">
    <cfRule type="cellIs" dxfId="28"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7"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14">
    <tabColor theme="0" tint="-0.34998626667073579"/>
    <pageSetUpPr fitToPage="1"/>
  </sheetPr>
  <dimension ref="A2:N81"/>
  <sheetViews>
    <sheetView showGridLines="0" view="pageBreakPreview" zoomScaleNormal="100" zoomScaleSheetLayoutView="100" workbookViewId="0">
      <pane xSplit="2" ySplit="4" topLeftCell="G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85.5703125" style="13" customWidth="1"/>
    <col min="3" max="6" width="8.5703125" style="10" hidden="1" customWidth="1" outlineLevel="1"/>
    <col min="7" max="7" width="8.5703125" style="10" customWidth="1" collapsed="1"/>
    <col min="8" max="11" width="8.5703125" style="10" hidden="1" customWidth="1" outlineLevel="1"/>
    <col min="12" max="12" width="8.5703125" style="10" customWidth="1" collapsed="1"/>
    <col min="13" max="13" width="9.28515625" customWidth="1"/>
  </cols>
  <sheetData>
    <row r="2" spans="1:14" ht="15.75">
      <c r="B2" s="397" t="str">
        <f>names!A1517</f>
        <v>Skonsolidowane sprawozdanie z przepływów pieniężnych</v>
      </c>
      <c r="M2" s="577"/>
    </row>
    <row r="3" spans="1:14" ht="10.15" customHeight="1">
      <c r="M3" s="577"/>
    </row>
    <row r="4" spans="1:14" s="1" customFormat="1" ht="33" customHeight="1">
      <c r="B4" s="15" t="str">
        <f>names!A1519</f>
        <v>Wyszczególnienie, 
mln PLN</v>
      </c>
      <c r="C4" s="15" t="str">
        <f>names!$A514</f>
        <v>I kw.
2016</v>
      </c>
      <c r="D4" s="15" t="str">
        <f>names!$A515</f>
        <v>II kw.
2016</v>
      </c>
      <c r="E4" s="15" t="str">
        <f>names!$A516</f>
        <v>III kw.
2016</v>
      </c>
      <c r="F4" s="15" t="str">
        <f>names!$A517</f>
        <v>IV kw.
2016</v>
      </c>
      <c r="G4" s="15" t="str">
        <f>names!$A518</f>
        <v>12 m-cy
2016</v>
      </c>
      <c r="H4" s="15" t="str">
        <f>names!$A519</f>
        <v>I kw.
2017</v>
      </c>
      <c r="I4" s="15" t="str">
        <f>names!$A520</f>
        <v>II kw.
2017</v>
      </c>
      <c r="J4" s="15" t="str">
        <f>names!$A521</f>
        <v>III kw.
2017</v>
      </c>
      <c r="K4" s="15" t="str">
        <f>names!$A522</f>
        <v>IV kw.
2017</v>
      </c>
      <c r="L4" s="15" t="str">
        <f>names!$A523</f>
        <v>12 m-cy
2017</v>
      </c>
      <c r="M4" s="577"/>
      <c r="N4"/>
    </row>
    <row r="5" spans="1:14" s="30" customFormat="1" ht="7.15" customHeight="1">
      <c r="B5" s="92"/>
      <c r="C5" s="92"/>
      <c r="D5" s="92"/>
      <c r="E5" s="92"/>
      <c r="F5" s="92"/>
      <c r="G5" s="92"/>
      <c r="H5" s="92"/>
      <c r="I5" s="92"/>
      <c r="J5" s="92"/>
      <c r="K5" s="92"/>
      <c r="L5" s="92"/>
      <c r="M5" s="577"/>
      <c r="N5"/>
    </row>
    <row r="6" spans="1:14" s="1" customFormat="1">
      <c r="B6" s="406" t="str">
        <f>names!A1521</f>
        <v>Przepływy pieniężne z działalności operacyjnej</v>
      </c>
      <c r="C6" s="27"/>
      <c r="D6" s="27"/>
      <c r="E6" s="27"/>
      <c r="F6" s="27"/>
      <c r="G6" s="227"/>
      <c r="H6" s="27"/>
      <c r="I6" s="27"/>
      <c r="J6" s="27"/>
      <c r="K6" s="27"/>
      <c r="L6" s="227"/>
      <c r="M6" s="577"/>
      <c r="N6"/>
    </row>
    <row r="7" spans="1:14" s="1" customFormat="1">
      <c r="B7" s="402" t="str">
        <f>names!A1522</f>
        <v>Zysk przed opodatkowaniem</v>
      </c>
      <c r="C7" s="130">
        <v>434</v>
      </c>
      <c r="D7" s="130">
        <v>2036</v>
      </c>
      <c r="E7" s="130">
        <v>1927</v>
      </c>
      <c r="F7" s="130">
        <v>2490</v>
      </c>
      <c r="G7" s="228">
        <v>6887</v>
      </c>
      <c r="H7" s="130">
        <v>2539</v>
      </c>
      <c r="I7" s="130">
        <v>2123</v>
      </c>
      <c r="J7" s="130">
        <v>2060</v>
      </c>
      <c r="K7" s="130">
        <v>1995</v>
      </c>
      <c r="L7" s="228">
        <v>8717</v>
      </c>
      <c r="M7" s="577"/>
      <c r="N7"/>
    </row>
    <row r="8" spans="1:14" s="1" customFormat="1">
      <c r="B8" s="46" t="str">
        <f>names!A1523</f>
        <v>Korekty o pozycje:</v>
      </c>
      <c r="C8" s="131"/>
      <c r="D8" s="131"/>
      <c r="E8" s="131"/>
      <c r="F8" s="131"/>
      <c r="G8" s="229"/>
      <c r="H8" s="131"/>
      <c r="I8" s="131"/>
      <c r="J8" s="131"/>
      <c r="K8" s="131"/>
      <c r="L8" s="229"/>
      <c r="M8" s="577"/>
      <c r="N8"/>
    </row>
    <row r="9" spans="1:14" s="1" customFormat="1" ht="11.25" customHeight="1">
      <c r="B9" s="405" t="str">
        <f>names!A1524</f>
        <v>Udział w wyniku finansowym jednostek wycenianych metodą praw własności</v>
      </c>
      <c r="C9" s="131">
        <v>-85</v>
      </c>
      <c r="D9" s="131">
        <v>-99</v>
      </c>
      <c r="E9" s="131">
        <v>-68</v>
      </c>
      <c r="F9" s="131">
        <v>-45</v>
      </c>
      <c r="G9" s="229">
        <v>-297</v>
      </c>
      <c r="H9" s="131">
        <v>-69</v>
      </c>
      <c r="I9" s="131">
        <v>-55</v>
      </c>
      <c r="J9" s="131">
        <v>-62</v>
      </c>
      <c r="K9" s="131">
        <v>-62</v>
      </c>
      <c r="L9" s="229">
        <v>-248</v>
      </c>
      <c r="M9" s="577"/>
      <c r="N9"/>
    </row>
    <row r="10" spans="1:14" s="1" customFormat="1">
      <c r="B10" s="405" t="str">
        <f>names!A1525</f>
        <v>Amortyzacja</v>
      </c>
      <c r="C10" s="131">
        <v>515</v>
      </c>
      <c r="D10" s="131">
        <v>508</v>
      </c>
      <c r="E10" s="131">
        <v>537</v>
      </c>
      <c r="F10" s="131">
        <v>550</v>
      </c>
      <c r="G10" s="229">
        <v>2110</v>
      </c>
      <c r="H10" s="131">
        <v>562</v>
      </c>
      <c r="I10" s="131">
        <v>581</v>
      </c>
      <c r="J10" s="131">
        <v>616</v>
      </c>
      <c r="K10" s="131">
        <v>662</v>
      </c>
      <c r="L10" s="229">
        <v>2421</v>
      </c>
      <c r="M10" s="577"/>
      <c r="N10"/>
    </row>
    <row r="11" spans="1:14" s="1" customFormat="1">
      <c r="B11" s="405" t="str">
        <f>names!A1526</f>
        <v>(Zysk)/Strata z tytułu różnic kursowych</v>
      </c>
      <c r="C11" s="131">
        <v>41</v>
      </c>
      <c r="D11" s="131">
        <v>238</v>
      </c>
      <c r="E11" s="131">
        <v>-28</v>
      </c>
      <c r="F11" s="131">
        <v>36</v>
      </c>
      <c r="G11" s="229">
        <v>287</v>
      </c>
      <c r="H11" s="131">
        <v>-137</v>
      </c>
      <c r="I11" s="131">
        <v>45</v>
      </c>
      <c r="J11" s="131">
        <v>65</v>
      </c>
      <c r="K11" s="131">
        <v>-206</v>
      </c>
      <c r="L11" s="229">
        <v>-233</v>
      </c>
      <c r="M11" s="577"/>
      <c r="N11"/>
    </row>
    <row r="12" spans="1:14" s="1" customFormat="1">
      <c r="B12" s="405" t="str">
        <f>names!A1527</f>
        <v>Odsetki netto</v>
      </c>
      <c r="C12" s="131">
        <v>50</v>
      </c>
      <c r="D12" s="131">
        <v>78</v>
      </c>
      <c r="E12" s="131">
        <v>36</v>
      </c>
      <c r="F12" s="131">
        <v>55</v>
      </c>
      <c r="G12" s="229">
        <v>219</v>
      </c>
      <c r="H12" s="131">
        <v>50</v>
      </c>
      <c r="I12" s="131">
        <v>53</v>
      </c>
      <c r="J12" s="131">
        <v>52</v>
      </c>
      <c r="K12" s="131">
        <v>49</v>
      </c>
      <c r="L12" s="229">
        <v>204</v>
      </c>
      <c r="M12" s="577"/>
      <c r="N12"/>
    </row>
    <row r="13" spans="1:14" s="1" customFormat="1">
      <c r="B13" s="405" t="str">
        <f>names!A1528</f>
        <v>Dywidendy</v>
      </c>
      <c r="C13" s="131">
        <v>0</v>
      </c>
      <c r="D13" s="131">
        <v>-5</v>
      </c>
      <c r="E13" s="131">
        <v>0</v>
      </c>
      <c r="F13" s="131">
        <v>0</v>
      </c>
      <c r="G13" s="229">
        <v>-5</v>
      </c>
      <c r="H13" s="131">
        <v>0</v>
      </c>
      <c r="I13" s="131">
        <v>-4</v>
      </c>
      <c r="J13" s="131">
        <v>0</v>
      </c>
      <c r="K13" s="131">
        <v>0</v>
      </c>
      <c r="L13" s="229">
        <v>-4</v>
      </c>
      <c r="M13" s="577"/>
      <c r="N13"/>
    </row>
    <row r="14" spans="1:14" s="1" customFormat="1">
      <c r="B14" s="405" t="str">
        <f>names!A1529</f>
        <v>(Zysk)/Strata na działalności inwestycyjnej, w tym:</v>
      </c>
      <c r="C14" s="131">
        <v>-43</v>
      </c>
      <c r="D14" s="131">
        <v>-1</v>
      </c>
      <c r="E14" s="131">
        <v>-2</v>
      </c>
      <c r="F14" s="131">
        <v>-253</v>
      </c>
      <c r="G14" s="229">
        <v>-299</v>
      </c>
      <c r="H14" s="131">
        <v>110</v>
      </c>
      <c r="I14" s="131">
        <v>93</v>
      </c>
      <c r="J14" s="131">
        <v>157</v>
      </c>
      <c r="K14" s="131">
        <v>189</v>
      </c>
      <c r="L14" s="229">
        <v>549</v>
      </c>
      <c r="M14" s="577"/>
      <c r="N14"/>
    </row>
    <row r="15" spans="1:14" s="1" customFormat="1" ht="9.75" customHeight="1">
      <c r="B15" s="452" t="str">
        <f>names!A1530</f>
        <v>utworzenie/(odwrócenie) odpisów aktualizujących wartość rzeczowych aktywów trwałych i wartości niematerialnych</v>
      </c>
      <c r="C15" s="131">
        <v>7</v>
      </c>
      <c r="D15" s="131">
        <v>4</v>
      </c>
      <c r="E15" s="131">
        <v>2</v>
      </c>
      <c r="F15" s="131">
        <v>-158</v>
      </c>
      <c r="G15" s="229">
        <v>-145</v>
      </c>
      <c r="H15" s="131">
        <v>2</v>
      </c>
      <c r="I15" s="131">
        <v>13</v>
      </c>
      <c r="J15" s="131">
        <v>50</v>
      </c>
      <c r="K15" s="131">
        <v>104</v>
      </c>
      <c r="L15" s="229">
        <v>169</v>
      </c>
      <c r="M15" s="577"/>
      <c r="N15"/>
    </row>
    <row r="16" spans="1:14" s="1" customFormat="1">
      <c r="A16" s="62"/>
      <c r="B16" s="405" t="str">
        <f>names!A1531</f>
        <v xml:space="preserve">Zmiana stanu rezerw </v>
      </c>
      <c r="C16" s="131">
        <v>30</v>
      </c>
      <c r="D16" s="131">
        <v>19</v>
      </c>
      <c r="E16" s="131">
        <v>79</v>
      </c>
      <c r="F16" s="131">
        <v>202</v>
      </c>
      <c r="G16" s="229">
        <v>330</v>
      </c>
      <c r="H16" s="131">
        <v>71</v>
      </c>
      <c r="I16" s="131">
        <v>62</v>
      </c>
      <c r="J16" s="131">
        <v>86</v>
      </c>
      <c r="K16" s="131">
        <v>126</v>
      </c>
      <c r="L16" s="229">
        <v>345</v>
      </c>
      <c r="M16" s="577"/>
      <c r="N16"/>
    </row>
    <row r="17" spans="1:14" s="1" customFormat="1">
      <c r="A17" s="62"/>
      <c r="B17" s="407" t="str">
        <f>names!A1532</f>
        <v>Zmiana stanu kapitału pracującego</v>
      </c>
      <c r="C17" s="133">
        <v>1766</v>
      </c>
      <c r="D17" s="133">
        <v>-713</v>
      </c>
      <c r="E17" s="133">
        <v>204</v>
      </c>
      <c r="F17" s="133">
        <v>-441</v>
      </c>
      <c r="G17" s="230">
        <v>816</v>
      </c>
      <c r="H17" s="133">
        <v>-1735</v>
      </c>
      <c r="I17" s="133">
        <v>1317</v>
      </c>
      <c r="J17" s="133">
        <v>-267</v>
      </c>
      <c r="K17" s="133">
        <v>-1282</v>
      </c>
      <c r="L17" s="230">
        <v>-1967</v>
      </c>
      <c r="M17" s="577"/>
      <c r="N17"/>
    </row>
    <row r="18" spans="1:14" s="1" customFormat="1">
      <c r="A18" s="62"/>
      <c r="B18" s="408" t="str">
        <f>names!A1533</f>
        <v>zapasy</v>
      </c>
      <c r="C18" s="132">
        <v>1477</v>
      </c>
      <c r="D18" s="132">
        <v>-1295</v>
      </c>
      <c r="E18" s="132">
        <v>172</v>
      </c>
      <c r="F18" s="132">
        <v>-641</v>
      </c>
      <c r="G18" s="231">
        <v>-287</v>
      </c>
      <c r="H18" s="132">
        <v>-930</v>
      </c>
      <c r="I18" s="132">
        <v>915</v>
      </c>
      <c r="J18" s="132">
        <v>-266</v>
      </c>
      <c r="K18" s="132">
        <v>-1164</v>
      </c>
      <c r="L18" s="231">
        <v>-1445</v>
      </c>
      <c r="M18" s="577"/>
      <c r="N18"/>
    </row>
    <row r="19" spans="1:14" s="1" customFormat="1">
      <c r="A19" s="62"/>
      <c r="B19" s="408" t="str">
        <f>names!A1534</f>
        <v>należności</v>
      </c>
      <c r="C19" s="132">
        <v>32</v>
      </c>
      <c r="D19" s="132">
        <v>-930</v>
      </c>
      <c r="E19" s="132">
        <v>158</v>
      </c>
      <c r="F19" s="132">
        <v>-939</v>
      </c>
      <c r="G19" s="231">
        <v>-1679</v>
      </c>
      <c r="H19" s="132">
        <v>-72</v>
      </c>
      <c r="I19" s="132">
        <v>20</v>
      </c>
      <c r="J19" s="132">
        <v>-1472</v>
      </c>
      <c r="K19" s="132">
        <v>-55</v>
      </c>
      <c r="L19" s="231">
        <v>-1579</v>
      </c>
      <c r="M19" s="577"/>
      <c r="N19"/>
    </row>
    <row r="20" spans="1:14" s="1" customFormat="1">
      <c r="A20" s="62"/>
      <c r="B20" s="408" t="str">
        <f>names!A1535</f>
        <v>zobowiązania</v>
      </c>
      <c r="C20" s="132">
        <v>257</v>
      </c>
      <c r="D20" s="132">
        <v>1512</v>
      </c>
      <c r="E20" s="132">
        <v>-126</v>
      </c>
      <c r="F20" s="132">
        <v>1139</v>
      </c>
      <c r="G20" s="231">
        <v>2782</v>
      </c>
      <c r="H20" s="132">
        <v>-733</v>
      </c>
      <c r="I20" s="132">
        <v>382</v>
      </c>
      <c r="J20" s="132">
        <v>1471</v>
      </c>
      <c r="K20" s="132">
        <v>-63</v>
      </c>
      <c r="L20" s="231">
        <v>1057</v>
      </c>
      <c r="M20" s="577"/>
      <c r="N20"/>
    </row>
    <row r="21" spans="1:14" s="1" customFormat="1" ht="14.25" customHeight="1">
      <c r="A21" s="62"/>
      <c r="B21" s="405" t="str">
        <f>names!A1536</f>
        <v>Pozostałe korekty, w tym:</v>
      </c>
      <c r="C21" s="131">
        <v>307</v>
      </c>
      <c r="D21" s="131">
        <v>-259</v>
      </c>
      <c r="E21" s="131">
        <v>-445</v>
      </c>
      <c r="F21" s="131">
        <v>16</v>
      </c>
      <c r="G21" s="229">
        <v>-381</v>
      </c>
      <c r="H21" s="131">
        <v>11</v>
      </c>
      <c r="I21" s="131">
        <v>-531</v>
      </c>
      <c r="J21" s="131">
        <v>549</v>
      </c>
      <c r="K21" s="131">
        <v>-160</v>
      </c>
      <c r="L21" s="229">
        <v>-131</v>
      </c>
      <c r="M21" s="577"/>
      <c r="N21"/>
    </row>
    <row r="22" spans="1:14" s="26" customFormat="1">
      <c r="A22" s="453"/>
      <c r="B22" s="408" t="str">
        <f>names!A1537</f>
        <v>zmiana stanu rozrachunków z tytułu odszkodowań od ubezpieczycieli w Grupie Unipetrol</v>
      </c>
      <c r="C22" s="132">
        <f>-5+298</f>
        <v>293</v>
      </c>
      <c r="D22" s="132">
        <v>-298</v>
      </c>
      <c r="E22" s="132">
        <v>0</v>
      </c>
      <c r="F22" s="132">
        <v>0</v>
      </c>
      <c r="G22" s="231">
        <v>0</v>
      </c>
      <c r="H22" s="132">
        <f>-275+475</f>
        <v>200</v>
      </c>
      <c r="I22" s="132">
        <f>-475</f>
        <v>-475</v>
      </c>
      <c r="J22" s="132">
        <v>493</v>
      </c>
      <c r="K22" s="132">
        <v>4</v>
      </c>
      <c r="L22" s="231">
        <v>222</v>
      </c>
      <c r="M22" s="577"/>
      <c r="N22"/>
    </row>
    <row r="23" spans="1:14" s="26" customFormat="1">
      <c r="A23" s="453"/>
      <c r="B23" s="408" t="str">
        <f>names!A1538</f>
        <v>nieodpłatnie otrzymane prawa majątkowe</v>
      </c>
      <c r="C23" s="132">
        <v>-51</v>
      </c>
      <c r="D23" s="132">
        <v>-43</v>
      </c>
      <c r="E23" s="132">
        <v>-65</v>
      </c>
      <c r="F23" s="132">
        <v>-81</v>
      </c>
      <c r="G23" s="231">
        <v>-240</v>
      </c>
      <c r="H23" s="132">
        <v>-70</v>
      </c>
      <c r="I23" s="132">
        <v>-59</v>
      </c>
      <c r="J23" s="132">
        <v>-85</v>
      </c>
      <c r="K23" s="132">
        <v>-96</v>
      </c>
      <c r="L23" s="231">
        <v>-310</v>
      </c>
      <c r="M23" s="577"/>
      <c r="N23"/>
    </row>
    <row r="24" spans="1:14" s="1" customFormat="1" ht="13.5" thickBot="1">
      <c r="A24" s="62"/>
      <c r="B24" s="46" t="str">
        <f>names!A1539</f>
        <v>Podatek dochodowy (zapłacony)</v>
      </c>
      <c r="C24" s="131">
        <v>-88</v>
      </c>
      <c r="D24" s="131">
        <v>-38</v>
      </c>
      <c r="E24" s="131">
        <v>-143</v>
      </c>
      <c r="F24" s="131">
        <v>-67</v>
      </c>
      <c r="G24" s="229">
        <v>-336</v>
      </c>
      <c r="H24" s="131">
        <f>-729</f>
        <v>-729</v>
      </c>
      <c r="I24" s="131">
        <v>-191</v>
      </c>
      <c r="J24" s="131">
        <v>-253</v>
      </c>
      <c r="K24" s="131">
        <v>-430</v>
      </c>
      <c r="L24" s="229">
        <v>-1603</v>
      </c>
      <c r="M24" s="577"/>
      <c r="N24"/>
    </row>
    <row r="25" spans="1:14" s="1" customFormat="1" ht="13.5" thickBot="1">
      <c r="A25" s="62"/>
      <c r="B25" s="404" t="str">
        <f>names!A1540</f>
        <v>Środki pieniężne netto z/(wykorzystane w) działalności operacyjnej</v>
      </c>
      <c r="C25" s="134">
        <v>2927</v>
      </c>
      <c r="D25" s="134">
        <v>1764</v>
      </c>
      <c r="E25" s="134">
        <v>2097</v>
      </c>
      <c r="F25" s="134">
        <v>2543</v>
      </c>
      <c r="G25" s="185">
        <v>9331</v>
      </c>
      <c r="H25" s="134">
        <v>673</v>
      </c>
      <c r="I25" s="134">
        <v>3493</v>
      </c>
      <c r="J25" s="134">
        <v>3003</v>
      </c>
      <c r="K25" s="134">
        <v>881</v>
      </c>
      <c r="L25" s="185">
        <v>8050</v>
      </c>
      <c r="M25" s="577"/>
      <c r="N25"/>
    </row>
    <row r="26" spans="1:14" s="1" customFormat="1">
      <c r="A26" s="62"/>
      <c r="B26" s="406" t="str">
        <f>names!A1541</f>
        <v>Przepływy pieniężne z działalności inwestycyjnej</v>
      </c>
      <c r="C26" s="131"/>
      <c r="D26" s="131"/>
      <c r="E26" s="131"/>
      <c r="F26" s="131"/>
      <c r="G26" s="229"/>
      <c r="H26" s="131"/>
      <c r="I26" s="131"/>
      <c r="J26" s="131"/>
      <c r="K26" s="131"/>
      <c r="L26" s="229"/>
      <c r="M26" s="577"/>
      <c r="N26"/>
    </row>
    <row r="27" spans="1:14" s="1" customFormat="1">
      <c r="A27" s="62"/>
      <c r="B27" s="46" t="str">
        <f>names!A1542</f>
        <v>Nabycie składników rzeczowego majątku trwałego, 
wartości niematerialnych i praw wieczystego użytkowania gruntów</v>
      </c>
      <c r="C27" s="131">
        <v>-1533</v>
      </c>
      <c r="D27" s="131">
        <v>-1271</v>
      </c>
      <c r="E27" s="131">
        <v>-1149</v>
      </c>
      <c r="F27" s="131">
        <v>-1080</v>
      </c>
      <c r="G27" s="229">
        <v>-5033</v>
      </c>
      <c r="H27" s="131">
        <v>-889</v>
      </c>
      <c r="I27" s="131">
        <v>-1112</v>
      </c>
      <c r="J27" s="131">
        <v>-879</v>
      </c>
      <c r="K27" s="131">
        <v>-1159</v>
      </c>
      <c r="L27" s="229">
        <v>-4039</v>
      </c>
      <c r="M27" s="577"/>
      <c r="N27"/>
    </row>
    <row r="28" spans="1:14" s="1" customFormat="1">
      <c r="A28" s="62"/>
      <c r="B28" s="46" t="str">
        <f>names!A1543</f>
        <v>Nabycie akcji i udziałów skorygowane o przejęte środki pieniężne</v>
      </c>
      <c r="C28" s="131">
        <v>0</v>
      </c>
      <c r="D28" s="131">
        <v>-2</v>
      </c>
      <c r="E28" s="131">
        <v>0</v>
      </c>
      <c r="F28" s="131">
        <v>0</v>
      </c>
      <c r="G28" s="229">
        <v>-2</v>
      </c>
      <c r="H28" s="131">
        <v>0</v>
      </c>
      <c r="I28" s="131">
        <v>0</v>
      </c>
      <c r="J28" s="131">
        <v>0</v>
      </c>
      <c r="K28" s="131">
        <v>-3</v>
      </c>
      <c r="L28" s="229">
        <v>-3</v>
      </c>
      <c r="M28" s="577"/>
      <c r="N28"/>
    </row>
    <row r="29" spans="1:14" s="1" customFormat="1">
      <c r="A29" s="62"/>
      <c r="B29" s="46" t="str">
        <f>names!A1544</f>
        <v>Sprzedaż składników rzeczowego majątku trwałego, 
wartości niematerialnych i praw wieczystego użytkowania gruntów</v>
      </c>
      <c r="C29" s="131">
        <v>61</v>
      </c>
      <c r="D29" s="131">
        <v>22</v>
      </c>
      <c r="E29" s="131">
        <v>10</v>
      </c>
      <c r="F29" s="131">
        <v>48</v>
      </c>
      <c r="G29" s="229">
        <v>141</v>
      </c>
      <c r="H29" s="131">
        <v>50</v>
      </c>
      <c r="I29" s="131">
        <v>18</v>
      </c>
      <c r="J29" s="131">
        <v>17</v>
      </c>
      <c r="K29" s="131">
        <v>20</v>
      </c>
      <c r="L29" s="229">
        <v>105</v>
      </c>
      <c r="M29" s="577"/>
      <c r="N29"/>
    </row>
    <row r="30" spans="1:14" s="1" customFormat="1">
      <c r="A30" s="62"/>
      <c r="B30" s="46" t="str">
        <f>names!A1545</f>
        <v>Sprzedaż jednostki podporządkowanej</v>
      </c>
      <c r="C30" s="131">
        <v>71</v>
      </c>
      <c r="D30" s="131">
        <v>3</v>
      </c>
      <c r="E30" s="131">
        <v>0</v>
      </c>
      <c r="F30" s="131">
        <v>3</v>
      </c>
      <c r="G30" s="229">
        <v>77</v>
      </c>
      <c r="H30" s="131">
        <v>0</v>
      </c>
      <c r="I30" s="131">
        <v>0</v>
      </c>
      <c r="J30" s="131">
        <v>0</v>
      </c>
      <c r="K30" s="131">
        <v>0</v>
      </c>
      <c r="L30" s="229">
        <v>0</v>
      </c>
      <c r="M30" s="577"/>
      <c r="N30"/>
    </row>
    <row r="31" spans="1:14" s="1" customFormat="1">
      <c r="A31" s="62"/>
      <c r="B31" s="46" t="str">
        <f>names!A1546</f>
        <v>Dywidendy otrzymane</v>
      </c>
      <c r="C31" s="131">
        <v>0</v>
      </c>
      <c r="D31" s="131">
        <v>182</v>
      </c>
      <c r="E31" s="131">
        <v>5</v>
      </c>
      <c r="F31" s="131">
        <v>130</v>
      </c>
      <c r="G31" s="229">
        <v>317</v>
      </c>
      <c r="H31" s="131">
        <v>0</v>
      </c>
      <c r="I31" s="131">
        <v>177</v>
      </c>
      <c r="J31" s="131">
        <v>0</v>
      </c>
      <c r="K31" s="131">
        <v>75</v>
      </c>
      <c r="L31" s="229">
        <v>252</v>
      </c>
      <c r="M31" s="577"/>
      <c r="N31"/>
    </row>
    <row r="32" spans="1:14" s="1" customFormat="1">
      <c r="A32" s="62"/>
      <c r="B32" s="46" t="str">
        <f>names!A1547</f>
        <v>Rozliczenie instrumentów pochodnych niewyznaczonych dla celów rachunkowości zabezpieczeń</v>
      </c>
      <c r="C32" s="131">
        <v>-1</v>
      </c>
      <c r="D32" s="131">
        <v>9</v>
      </c>
      <c r="E32" s="131">
        <v>-7</v>
      </c>
      <c r="F32" s="131">
        <v>59</v>
      </c>
      <c r="G32" s="229">
        <v>60</v>
      </c>
      <c r="H32" s="131">
        <v>-64</v>
      </c>
      <c r="I32" s="131">
        <v>-25</v>
      </c>
      <c r="J32" s="131">
        <v>-78</v>
      </c>
      <c r="K32" s="131">
        <v>-67</v>
      </c>
      <c r="L32" s="229">
        <v>-234</v>
      </c>
      <c r="M32" s="577"/>
      <c r="N32"/>
    </row>
    <row r="33" spans="1:14" s="1" customFormat="1" ht="13.5" thickBot="1">
      <c r="A33" s="62"/>
      <c r="B33" s="46" t="str">
        <f>names!A1548</f>
        <v>Pozostałe</v>
      </c>
      <c r="C33" s="131">
        <v>3</v>
      </c>
      <c r="D33" s="131">
        <v>1</v>
      </c>
      <c r="E33" s="131">
        <v>-1</v>
      </c>
      <c r="F33" s="131">
        <v>1</v>
      </c>
      <c r="G33" s="229">
        <v>4</v>
      </c>
      <c r="H33" s="131">
        <v>-4</v>
      </c>
      <c r="I33" s="131">
        <v>2</v>
      </c>
      <c r="J33" s="131">
        <v>1</v>
      </c>
      <c r="K33" s="131">
        <v>-5</v>
      </c>
      <c r="L33" s="229">
        <v>-6</v>
      </c>
      <c r="M33" s="577"/>
      <c r="N33"/>
    </row>
    <row r="34" spans="1:14" s="1" customFormat="1" ht="12" customHeight="1" thickBot="1">
      <c r="A34" s="62"/>
      <c r="B34" s="404" t="str">
        <f>names!A1549</f>
        <v>Środki pieniężne netto z/(wykorzystane w) działalności inwestycyjnej</v>
      </c>
      <c r="C34" s="134">
        <v>-1399</v>
      </c>
      <c r="D34" s="134">
        <v>-1056</v>
      </c>
      <c r="E34" s="134">
        <v>-1142</v>
      </c>
      <c r="F34" s="134">
        <v>-839</v>
      </c>
      <c r="G34" s="185">
        <v>-4436</v>
      </c>
      <c r="H34" s="134">
        <v>-907</v>
      </c>
      <c r="I34" s="134">
        <v>-940</v>
      </c>
      <c r="J34" s="134">
        <v>-939</v>
      </c>
      <c r="K34" s="134">
        <v>-1139</v>
      </c>
      <c r="L34" s="185">
        <v>-3925</v>
      </c>
      <c r="M34" s="577"/>
      <c r="N34"/>
    </row>
    <row r="35" spans="1:14" s="1" customFormat="1">
      <c r="A35" s="62"/>
      <c r="B35" s="406" t="str">
        <f>names!A1550</f>
        <v>Przepływy pieniężne z działalności finansowej</v>
      </c>
      <c r="C35" s="135"/>
      <c r="D35" s="135"/>
      <c r="E35" s="135"/>
      <c r="F35" s="135"/>
      <c r="G35" s="232"/>
      <c r="H35" s="135"/>
      <c r="I35" s="135"/>
      <c r="J35" s="135"/>
      <c r="K35" s="135"/>
      <c r="L35" s="232"/>
      <c r="M35" s="577"/>
      <c r="N35"/>
    </row>
    <row r="36" spans="1:14" s="1" customFormat="1">
      <c r="A36" s="62"/>
      <c r="B36" s="46" t="str">
        <f>names!A1551</f>
        <v>Wpływy z otrzymanych kredytów i pożyczek</v>
      </c>
      <c r="C36" s="131">
        <v>2130</v>
      </c>
      <c r="D36" s="131">
        <v>1985</v>
      </c>
      <c r="E36" s="131">
        <v>35</v>
      </c>
      <c r="F36" s="131">
        <v>44</v>
      </c>
      <c r="G36" s="229">
        <v>3586</v>
      </c>
      <c r="H36" s="131">
        <v>19</v>
      </c>
      <c r="I36" s="131">
        <v>223</v>
      </c>
      <c r="J36" s="131">
        <v>132</v>
      </c>
      <c r="K36" s="131">
        <v>2</v>
      </c>
      <c r="L36" s="229">
        <v>6</v>
      </c>
      <c r="M36" s="577"/>
      <c r="N36"/>
    </row>
    <row r="37" spans="1:14" s="1" customFormat="1">
      <c r="A37" s="62"/>
      <c r="B37" s="46" t="str">
        <f>names!A1552</f>
        <v>Emisja obligacji</v>
      </c>
      <c r="C37" s="131">
        <v>0</v>
      </c>
      <c r="D37" s="131">
        <v>3258</v>
      </c>
      <c r="E37" s="131">
        <v>0</v>
      </c>
      <c r="F37" s="131">
        <v>0</v>
      </c>
      <c r="G37" s="229">
        <v>3258</v>
      </c>
      <c r="H37" s="131">
        <v>0</v>
      </c>
      <c r="I37" s="131">
        <v>0</v>
      </c>
      <c r="J37" s="131">
        <v>0</v>
      </c>
      <c r="K37" s="131">
        <v>400</v>
      </c>
      <c r="L37" s="229">
        <v>400</v>
      </c>
      <c r="M37" s="577"/>
      <c r="N37"/>
    </row>
    <row r="38" spans="1:14" s="1" customFormat="1">
      <c r="A38" s="62"/>
      <c r="B38" s="409" t="str">
        <f>names!A1553</f>
        <v>Spłaty kredytów i pożyczek</v>
      </c>
      <c r="C38" s="131">
        <v>-2383</v>
      </c>
      <c r="D38" s="131">
        <v>-5316</v>
      </c>
      <c r="E38" s="131">
        <v>-229</v>
      </c>
      <c r="F38" s="131">
        <v>-623</v>
      </c>
      <c r="G38" s="229">
        <v>-7943</v>
      </c>
      <c r="H38" s="131">
        <v>-785</v>
      </c>
      <c r="I38" s="131">
        <v>-229</v>
      </c>
      <c r="J38" s="131">
        <v>-177</v>
      </c>
      <c r="K38" s="131">
        <v>-67</v>
      </c>
      <c r="L38" s="229">
        <v>-888</v>
      </c>
      <c r="M38" s="577"/>
      <c r="N38"/>
    </row>
    <row r="39" spans="1:14" s="1" customFormat="1">
      <c r="A39" s="62"/>
      <c r="B39" s="409" t="str">
        <f>names!A1554</f>
        <v>Wykup obligacji</v>
      </c>
      <c r="C39" s="131">
        <v>0</v>
      </c>
      <c r="D39" s="131">
        <v>0</v>
      </c>
      <c r="E39" s="131">
        <v>0</v>
      </c>
      <c r="F39" s="131">
        <v>0</v>
      </c>
      <c r="G39" s="229">
        <v>0</v>
      </c>
      <c r="H39" s="131">
        <v>0</v>
      </c>
      <c r="I39" s="131">
        <v>-400</v>
      </c>
      <c r="J39" s="131">
        <v>0</v>
      </c>
      <c r="K39" s="131">
        <v>-300</v>
      </c>
      <c r="L39" s="229">
        <v>-700</v>
      </c>
      <c r="M39" s="577"/>
      <c r="N39"/>
    </row>
    <row r="40" spans="1:14" s="1" customFormat="1">
      <c r="A40" s="62"/>
      <c r="B40" s="46" t="str">
        <f>names!A1555</f>
        <v xml:space="preserve">Odsetki zapłacone </v>
      </c>
      <c r="C40" s="131">
        <v>-52</v>
      </c>
      <c r="D40" s="131">
        <v>-99</v>
      </c>
      <c r="E40" s="131">
        <v>-38</v>
      </c>
      <c r="F40" s="131">
        <v>-34</v>
      </c>
      <c r="G40" s="229">
        <v>-223</v>
      </c>
      <c r="H40" s="131">
        <v>-34</v>
      </c>
      <c r="I40" s="131">
        <v>-156</v>
      </c>
      <c r="J40" s="131">
        <v>-24</v>
      </c>
      <c r="K40" s="131">
        <v>-20</v>
      </c>
      <c r="L40" s="229">
        <v>-234</v>
      </c>
      <c r="M40" s="577"/>
      <c r="N40"/>
    </row>
    <row r="41" spans="1:14" s="1" customFormat="1">
      <c r="A41" s="62"/>
      <c r="B41" s="46" t="str">
        <f>names!A1556</f>
        <v>Dywidendy wypłacone</v>
      </c>
      <c r="C41" s="131">
        <v>0</v>
      </c>
      <c r="D41" s="131">
        <v>0</v>
      </c>
      <c r="E41" s="131">
        <v>-909</v>
      </c>
      <c r="F41" s="131">
        <v>-3</v>
      </c>
      <c r="G41" s="229">
        <v>-912</v>
      </c>
      <c r="H41" s="131">
        <v>0</v>
      </c>
      <c r="I41" s="131">
        <v>0</v>
      </c>
      <c r="J41" s="131">
        <v>-1376</v>
      </c>
      <c r="K41" s="131">
        <v>-8</v>
      </c>
      <c r="L41" s="229">
        <v>-1384</v>
      </c>
      <c r="M41" s="577"/>
      <c r="N41"/>
    </row>
    <row r="42" spans="1:14" s="1" customFormat="1">
      <c r="A42" s="62"/>
      <c r="B42" s="435" t="str">
        <f>names!A1557</f>
        <v>akcjonariuszom jednostki dominującej</v>
      </c>
      <c r="C42" s="132">
        <v>0</v>
      </c>
      <c r="D42" s="132">
        <v>0</v>
      </c>
      <c r="E42" s="132">
        <v>-855</v>
      </c>
      <c r="F42" s="131">
        <v>0</v>
      </c>
      <c r="G42" s="229">
        <v>-855</v>
      </c>
      <c r="H42" s="132">
        <v>0</v>
      </c>
      <c r="I42" s="132">
        <v>0</v>
      </c>
      <c r="J42" s="132">
        <v>-1283</v>
      </c>
      <c r="K42" s="131">
        <v>0</v>
      </c>
      <c r="L42" s="229">
        <v>-1283</v>
      </c>
      <c r="M42" s="577"/>
      <c r="N42"/>
    </row>
    <row r="43" spans="1:14" s="1" customFormat="1">
      <c r="A43" s="62"/>
      <c r="B43" s="435" t="str">
        <f>names!A1558</f>
        <v xml:space="preserve">akcjonariuszom niekontrolującym </v>
      </c>
      <c r="C43" s="132">
        <v>0</v>
      </c>
      <c r="D43" s="132">
        <v>0</v>
      </c>
      <c r="E43" s="132">
        <v>-54</v>
      </c>
      <c r="F43" s="131">
        <v>-3</v>
      </c>
      <c r="G43" s="229">
        <v>-57</v>
      </c>
      <c r="H43" s="132">
        <v>0</v>
      </c>
      <c r="I43" s="132">
        <v>0</v>
      </c>
      <c r="J43" s="132">
        <v>-93</v>
      </c>
      <c r="K43" s="131">
        <v>-8</v>
      </c>
      <c r="L43" s="229">
        <v>-101</v>
      </c>
      <c r="M43" s="577"/>
      <c r="N43"/>
    </row>
    <row r="44" spans="1:14" s="1" customFormat="1">
      <c r="A44" s="62"/>
      <c r="B44" s="46" t="str">
        <f>names!A1559</f>
        <v>Płatności  zobowiązań  z  tytułu  umów  leasingu  finansowego</v>
      </c>
      <c r="C44" s="131">
        <v>-7</v>
      </c>
      <c r="D44" s="131">
        <v>-8</v>
      </c>
      <c r="E44" s="131">
        <v>-6</v>
      </c>
      <c r="F44" s="131">
        <v>-7</v>
      </c>
      <c r="G44" s="229">
        <v>-28</v>
      </c>
      <c r="H44" s="131">
        <v>-7</v>
      </c>
      <c r="I44" s="131">
        <v>-7</v>
      </c>
      <c r="J44" s="131">
        <v>-7</v>
      </c>
      <c r="K44" s="131">
        <v>-7</v>
      </c>
      <c r="L44" s="229">
        <v>-28</v>
      </c>
      <c r="M44" s="577"/>
      <c r="N44"/>
    </row>
    <row r="45" spans="1:14" s="1" customFormat="1" ht="13.5" thickBot="1">
      <c r="A45" s="62"/>
      <c r="B45" s="46" t="str">
        <f>names!A1560</f>
        <v>Pozostałe</v>
      </c>
      <c r="C45" s="131">
        <v>1</v>
      </c>
      <c r="D45" s="131">
        <v>-7</v>
      </c>
      <c r="E45" s="131">
        <v>-5</v>
      </c>
      <c r="F45" s="131">
        <v>63</v>
      </c>
      <c r="G45" s="229">
        <v>52</v>
      </c>
      <c r="H45" s="131">
        <v>-1</v>
      </c>
      <c r="I45" s="131">
        <v>0</v>
      </c>
      <c r="J45" s="131">
        <v>-2</v>
      </c>
      <c r="K45" s="131">
        <v>-1</v>
      </c>
      <c r="L45" s="229">
        <v>-4</v>
      </c>
      <c r="M45" s="577"/>
      <c r="N45"/>
    </row>
    <row r="46" spans="1:14" s="1" customFormat="1" ht="13.5" thickBot="1">
      <c r="A46" s="62"/>
      <c r="B46" s="404" t="str">
        <f>names!A1561</f>
        <v>Środki pieniężne netto z/(wykorzystane w) działalności finansowej</v>
      </c>
      <c r="C46" s="134">
        <v>-311</v>
      </c>
      <c r="D46" s="134">
        <v>-187</v>
      </c>
      <c r="E46" s="134">
        <v>-1152</v>
      </c>
      <c r="F46" s="134">
        <v>-560</v>
      </c>
      <c r="G46" s="185">
        <v>-2210</v>
      </c>
      <c r="H46" s="134">
        <v>-808</v>
      </c>
      <c r="I46" s="134">
        <v>-569</v>
      </c>
      <c r="J46" s="134">
        <v>-1454</v>
      </c>
      <c r="K46" s="134">
        <v>-1</v>
      </c>
      <c r="L46" s="185">
        <v>-2832</v>
      </c>
      <c r="M46" s="577"/>
      <c r="N46"/>
    </row>
    <row r="47" spans="1:14" s="55" customFormat="1">
      <c r="A47" s="64"/>
      <c r="B47" s="410"/>
      <c r="C47" s="136"/>
      <c r="D47" s="136"/>
      <c r="E47" s="136"/>
      <c r="F47" s="136"/>
      <c r="G47" s="233"/>
      <c r="H47" s="136"/>
      <c r="I47" s="136"/>
      <c r="J47" s="136"/>
      <c r="K47" s="136"/>
      <c r="L47" s="233"/>
      <c r="M47" s="577"/>
      <c r="N47"/>
    </row>
    <row r="48" spans="1:14" s="1" customFormat="1">
      <c r="A48" s="62"/>
      <c r="B48" s="402" t="str">
        <f>names!A1563</f>
        <v>Zwiększenie/(Zmniejszenie) netto stanu środków pieniężnych i ich ekwiwalentów</v>
      </c>
      <c r="C48" s="130">
        <v>1217</v>
      </c>
      <c r="D48" s="130">
        <v>521</v>
      </c>
      <c r="E48" s="130">
        <v>-197</v>
      </c>
      <c r="F48" s="130">
        <v>1144</v>
      </c>
      <c r="G48" s="228">
        <v>2685</v>
      </c>
      <c r="H48" s="130">
        <v>-1042</v>
      </c>
      <c r="I48" s="130">
        <v>1984</v>
      </c>
      <c r="J48" s="130">
        <v>610</v>
      </c>
      <c r="K48" s="130">
        <v>-259</v>
      </c>
      <c r="L48" s="228">
        <v>1293</v>
      </c>
      <c r="M48" s="577"/>
      <c r="N48"/>
    </row>
    <row r="49" spans="1:14" s="1" customFormat="1">
      <c r="A49" s="123"/>
      <c r="B49" s="403" t="str">
        <f>names!A1564</f>
        <v>Zmiana stanu środków pieniężnych i ich ekwiwalentów z tytułu różnic kursowych</v>
      </c>
      <c r="C49" s="133">
        <v>-98</v>
      </c>
      <c r="D49" s="133">
        <v>106</v>
      </c>
      <c r="E49" s="133">
        <v>-39</v>
      </c>
      <c r="F49" s="133">
        <v>70</v>
      </c>
      <c r="G49" s="230">
        <v>39</v>
      </c>
      <c r="H49" s="133">
        <v>-214</v>
      </c>
      <c r="I49" s="133">
        <v>33</v>
      </c>
      <c r="J49" s="133">
        <v>90</v>
      </c>
      <c r="K49" s="133">
        <v>-30</v>
      </c>
      <c r="L49" s="230">
        <v>-121</v>
      </c>
      <c r="M49" s="577"/>
      <c r="N49"/>
    </row>
    <row r="50" spans="1:14" s="1" customFormat="1">
      <c r="A50" s="123"/>
      <c r="B50" s="403" t="str">
        <f>names!A1565</f>
        <v>Środki pieniężne i ich ekwiwalenty na początek okresu</v>
      </c>
      <c r="C50" s="133">
        <v>2348</v>
      </c>
      <c r="D50" s="133">
        <v>3467</v>
      </c>
      <c r="E50" s="133">
        <v>4094</v>
      </c>
      <c r="F50" s="133">
        <v>3858</v>
      </c>
      <c r="G50" s="230">
        <v>2348</v>
      </c>
      <c r="H50" s="133">
        <v>5072</v>
      </c>
      <c r="I50" s="133">
        <v>3816</v>
      </c>
      <c r="J50" s="133">
        <v>5833</v>
      </c>
      <c r="K50" s="133">
        <v>6533</v>
      </c>
      <c r="L50" s="230">
        <v>5072</v>
      </c>
      <c r="M50" s="577"/>
      <c r="N50"/>
    </row>
    <row r="51" spans="1:14" s="55" customFormat="1" ht="13.5" thickBot="1">
      <c r="A51" s="64"/>
      <c r="B51" s="411"/>
      <c r="C51" s="137"/>
      <c r="D51" s="137"/>
      <c r="E51" s="137"/>
      <c r="F51" s="137"/>
      <c r="G51" s="234"/>
      <c r="H51" s="137"/>
      <c r="I51" s="137"/>
      <c r="J51" s="137"/>
      <c r="K51" s="137"/>
      <c r="L51" s="234"/>
      <c r="M51" s="577"/>
      <c r="N51"/>
    </row>
    <row r="52" spans="1:14" s="1" customFormat="1" ht="13.5" thickBot="1">
      <c r="A52" s="62"/>
      <c r="B52" s="404" t="str">
        <f>names!A1567</f>
        <v>Środki pieniężne i ich ekwiwalenty na koniec okresu</v>
      </c>
      <c r="C52" s="134">
        <v>3467</v>
      </c>
      <c r="D52" s="134">
        <v>4094</v>
      </c>
      <c r="E52" s="134">
        <v>3858</v>
      </c>
      <c r="F52" s="134">
        <v>5072</v>
      </c>
      <c r="G52" s="185">
        <v>5072</v>
      </c>
      <c r="H52" s="134">
        <v>3816</v>
      </c>
      <c r="I52" s="134">
        <v>5833</v>
      </c>
      <c r="J52" s="134">
        <v>6533</v>
      </c>
      <c r="K52" s="134">
        <v>6244</v>
      </c>
      <c r="L52" s="185">
        <v>6244</v>
      </c>
      <c r="M52" s="577"/>
      <c r="N52"/>
    </row>
    <row r="53" spans="1:14" ht="7.5" customHeight="1">
      <c r="A53" s="28"/>
      <c r="M53" s="577"/>
    </row>
    <row r="54" spans="1:14">
      <c r="A54" s="28"/>
      <c r="C54" s="183"/>
      <c r="D54" s="183"/>
      <c r="E54" s="183"/>
      <c r="F54" s="183"/>
      <c r="G54" s="183"/>
      <c r="H54" s="183"/>
      <c r="I54" s="183"/>
      <c r="J54" s="183"/>
      <c r="K54" s="183"/>
      <c r="L54" s="183"/>
    </row>
    <row r="55" spans="1:14">
      <c r="A55" s="28"/>
      <c r="B55" s="577"/>
      <c r="C55" s="577"/>
      <c r="D55" s="577"/>
      <c r="E55" s="577"/>
      <c r="F55" s="577"/>
      <c r="G55" s="577"/>
      <c r="H55" s="577"/>
      <c r="I55" s="577"/>
      <c r="J55" s="577"/>
      <c r="K55" s="577"/>
      <c r="L55" s="577"/>
    </row>
    <row r="56" spans="1:14">
      <c r="A56" s="28"/>
      <c r="C56" s="21"/>
      <c r="D56" s="21"/>
      <c r="E56" s="21"/>
      <c r="F56" s="21"/>
      <c r="G56" s="21"/>
      <c r="H56" s="21"/>
      <c r="I56" s="21"/>
      <c r="J56" s="21"/>
      <c r="K56" s="21"/>
      <c r="L56" s="21"/>
    </row>
    <row r="57" spans="1:14">
      <c r="A57" s="28"/>
      <c r="B57" s="46"/>
      <c r="C57" s="23"/>
      <c r="D57" s="23"/>
      <c r="E57" s="23"/>
      <c r="F57" s="23"/>
      <c r="G57" s="23"/>
      <c r="H57" s="23"/>
      <c r="I57" s="23"/>
      <c r="J57" s="23"/>
      <c r="K57" s="23"/>
      <c r="L57" s="23"/>
    </row>
    <row r="58" spans="1:14">
      <c r="A58" s="28"/>
      <c r="B58" s="46"/>
      <c r="C58" s="23"/>
      <c r="D58" s="23"/>
      <c r="E58" s="23"/>
      <c r="F58" s="23"/>
      <c r="G58" s="23"/>
      <c r="H58" s="23"/>
      <c r="I58" s="23"/>
      <c r="J58" s="23"/>
      <c r="K58" s="23"/>
      <c r="L58" s="23"/>
    </row>
    <row r="59" spans="1:14">
      <c r="A59" s="28"/>
      <c r="B59" s="46"/>
      <c r="C59" s="23"/>
      <c r="D59" s="23"/>
      <c r="E59" s="23"/>
      <c r="F59" s="23"/>
      <c r="G59" s="23"/>
      <c r="H59" s="23"/>
      <c r="I59" s="23"/>
      <c r="J59" s="23"/>
      <c r="K59" s="23"/>
      <c r="L59" s="23"/>
    </row>
    <row r="60" spans="1:14">
      <c r="A60" s="28"/>
      <c r="B60" s="46"/>
      <c r="C60" s="23"/>
      <c r="D60" s="23"/>
      <c r="E60" s="23"/>
      <c r="F60" s="23"/>
      <c r="G60" s="23"/>
      <c r="H60" s="23"/>
      <c r="I60" s="23"/>
      <c r="J60" s="23"/>
      <c r="K60" s="23"/>
      <c r="L60" s="23"/>
    </row>
    <row r="61" spans="1:14">
      <c r="A61" s="28"/>
      <c r="B61" s="46"/>
      <c r="C61" s="23"/>
      <c r="D61" s="23"/>
      <c r="E61" s="23"/>
      <c r="F61" s="23"/>
      <c r="G61" s="23"/>
      <c r="H61" s="23"/>
      <c r="I61" s="23"/>
      <c r="J61" s="23"/>
      <c r="K61" s="23"/>
      <c r="L61" s="23"/>
    </row>
    <row r="62" spans="1:14">
      <c r="A62" s="28"/>
      <c r="B62" s="46"/>
      <c r="C62" s="23"/>
      <c r="D62" s="23"/>
      <c r="E62" s="23"/>
      <c r="F62" s="23"/>
      <c r="G62" s="23"/>
      <c r="H62" s="23"/>
      <c r="I62" s="23"/>
      <c r="J62" s="23"/>
      <c r="K62" s="23"/>
      <c r="L62" s="23"/>
    </row>
    <row r="63" spans="1:14">
      <c r="A63" s="28"/>
      <c r="B63" s="46"/>
      <c r="C63" s="23"/>
      <c r="D63" s="23"/>
      <c r="E63" s="23"/>
      <c r="F63" s="23"/>
      <c r="G63" s="23"/>
      <c r="H63" s="23"/>
      <c r="I63" s="23"/>
      <c r="J63" s="23"/>
      <c r="K63" s="23"/>
      <c r="L63" s="23"/>
    </row>
    <row r="64" spans="1:14">
      <c r="A64" s="28"/>
      <c r="B64" s="46"/>
      <c r="C64" s="23"/>
      <c r="D64" s="23"/>
      <c r="E64" s="23"/>
      <c r="F64" s="23"/>
      <c r="G64" s="23"/>
      <c r="H64" s="23"/>
      <c r="I64" s="23"/>
      <c r="J64" s="23"/>
      <c r="K64" s="23"/>
      <c r="L64" s="23"/>
    </row>
    <row r="65" spans="1:12">
      <c r="A65" s="28"/>
      <c r="B65" s="46"/>
    </row>
    <row r="66" spans="1:12">
      <c r="A66" s="28"/>
    </row>
    <row r="67" spans="1:12">
      <c r="A67" s="28"/>
    </row>
    <row r="68" spans="1:12">
      <c r="A68" s="28"/>
    </row>
    <row r="69" spans="1:12">
      <c r="A69" s="28"/>
    </row>
    <row r="70" spans="1:12">
      <c r="A70" s="28"/>
    </row>
    <row r="71" spans="1:12">
      <c r="A71" s="28"/>
    </row>
    <row r="72" spans="1:12">
      <c r="A72" s="28"/>
    </row>
    <row r="73" spans="1:12">
      <c r="A73" s="28"/>
    </row>
    <row r="74" spans="1:12">
      <c r="A74" s="28"/>
    </row>
    <row r="75" spans="1:12">
      <c r="A75" s="28"/>
    </row>
    <row r="76" spans="1:12">
      <c r="A76" s="28"/>
    </row>
    <row r="77" spans="1:12">
      <c r="A77" s="28"/>
    </row>
    <row r="78" spans="1:12">
      <c r="A78" s="28"/>
    </row>
    <row r="79" spans="1:12">
      <c r="A79" s="28"/>
    </row>
    <row r="80" spans="1:12" s="13" customFormat="1">
      <c r="A80" s="28"/>
      <c r="C80" s="10"/>
      <c r="D80" s="10"/>
      <c r="E80" s="10"/>
      <c r="F80" s="10"/>
      <c r="G80" s="10"/>
      <c r="H80" s="10"/>
      <c r="I80" s="10"/>
      <c r="J80" s="10"/>
      <c r="K80" s="10"/>
      <c r="L80" s="10"/>
    </row>
    <row r="81" spans="1:12" s="13" customFormat="1">
      <c r="A81" s="28"/>
      <c r="C81" s="10"/>
      <c r="D81" s="10"/>
      <c r="E81" s="10"/>
      <c r="F81" s="10"/>
      <c r="G81" s="10"/>
      <c r="H81" s="10"/>
      <c r="I81" s="10"/>
      <c r="J81" s="10"/>
      <c r="K81" s="10"/>
      <c r="L81" s="10"/>
    </row>
  </sheetData>
  <conditionalFormatting sqref="B55:L55">
    <cfRule type="cellIs" dxfId="27" priority="1" operator="equal">
      <formula>FALSE</formula>
    </cfRule>
  </conditionalFormatting>
  <conditionalFormatting sqref="M2:M53">
    <cfRule type="cellIs" dxfId="26" priority="2" operator="equal">
      <formula>FALSE</formula>
    </cfRule>
  </conditionalFormatting>
  <printOptions horizontalCentered="1"/>
  <pageMargins left="0.47244094488188981" right="0.39370078740157483" top="0.98425196850393704" bottom="0.98425196850393704" header="0.51181102362204722" footer="0.51181102362204722"/>
  <pageSetup paperSize="9" scale="6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34998626667073579"/>
    <pageSetUpPr fitToPage="1"/>
  </sheetPr>
  <dimension ref="A2:H80"/>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86.7109375" style="13" customWidth="1"/>
    <col min="3" max="6" width="8.5703125" style="10" hidden="1" customWidth="1" outlineLevel="1"/>
    <col min="7" max="7" width="9.28515625" style="10" customWidth="1" collapsed="1"/>
  </cols>
  <sheetData>
    <row r="2" spans="1:8" ht="15.75">
      <c r="B2" s="397" t="str">
        <f>names!A1569</f>
        <v>Skonsolidowane sprawozdanie z przepływów pieniężnych</v>
      </c>
      <c r="H2" s="577"/>
    </row>
    <row r="3" spans="1:8" ht="10.15" customHeight="1">
      <c r="H3" s="577"/>
    </row>
    <row r="4" spans="1:8" s="1" customFormat="1" ht="31.5" customHeight="1">
      <c r="B4" s="15" t="str">
        <f>names!A1571</f>
        <v>Wyszczególnienie, 
mln PLN</v>
      </c>
      <c r="C4" s="15" t="str">
        <f>names!$A524</f>
        <v>I kw.
2018</v>
      </c>
      <c r="D4" s="15" t="str">
        <f>names!$A525</f>
        <v>II kw.
2018</v>
      </c>
      <c r="E4" s="15" t="str">
        <f>names!$A526</f>
        <v>III kw.
2018</v>
      </c>
      <c r="F4" s="15" t="str">
        <f>names!$A1620</f>
        <v>IV kw.
2018 *</v>
      </c>
      <c r="G4" s="15" t="str">
        <f>names!$A1621</f>
        <v>12 m-cy
2018 *</v>
      </c>
      <c r="H4" s="577"/>
    </row>
    <row r="5" spans="1:8" s="30" customFormat="1" ht="7.15" customHeight="1">
      <c r="B5" s="92"/>
      <c r="C5" s="92"/>
      <c r="D5" s="92"/>
      <c r="E5" s="92"/>
      <c r="F5" s="92"/>
      <c r="G5" s="92"/>
      <c r="H5" s="577"/>
    </row>
    <row r="6" spans="1:8" s="1" customFormat="1" ht="11.25">
      <c r="B6" s="406" t="str">
        <f>names!A1573</f>
        <v>Przepływy pieniężne z działalności operacyjnej</v>
      </c>
      <c r="C6" s="27"/>
      <c r="D6" s="27"/>
      <c r="E6" s="27"/>
      <c r="F6" s="27"/>
      <c r="G6" s="227"/>
      <c r="H6" s="577"/>
    </row>
    <row r="7" spans="1:8" s="1" customFormat="1" ht="11.25">
      <c r="B7" s="402" t="str">
        <f>names!A1574</f>
        <v>Zysk przed opodatkowaniem</v>
      </c>
      <c r="C7" s="130">
        <v>1245</v>
      </c>
      <c r="D7" s="130">
        <v>2232</v>
      </c>
      <c r="E7" s="130">
        <v>2548</v>
      </c>
      <c r="F7" s="130">
        <v>1275</v>
      </c>
      <c r="G7" s="228">
        <v>7110</v>
      </c>
      <c r="H7" s="577"/>
    </row>
    <row r="8" spans="1:8" s="1" customFormat="1" ht="11.25">
      <c r="B8" s="46" t="str">
        <f>names!A1575</f>
        <v>Korekty o pozycje:</v>
      </c>
      <c r="C8" s="131"/>
      <c r="D8" s="131"/>
      <c r="E8" s="131"/>
      <c r="F8" s="131"/>
      <c r="G8" s="229"/>
      <c r="H8" s="577"/>
    </row>
    <row r="9" spans="1:8" s="1" customFormat="1" ht="11.25" customHeight="1">
      <c r="B9" s="405" t="str">
        <f>names!A1576</f>
        <v>Udział w wyniku finansowym jednostek wycenianych metodą praw własności</v>
      </c>
      <c r="C9" s="131">
        <v>-35</v>
      </c>
      <c r="D9" s="131">
        <v>-53</v>
      </c>
      <c r="E9" s="131">
        <v>-26</v>
      </c>
      <c r="F9" s="131">
        <v>-13</v>
      </c>
      <c r="G9" s="229">
        <v>-127</v>
      </c>
      <c r="H9" s="577"/>
    </row>
    <row r="10" spans="1:8" s="1" customFormat="1" ht="11.25">
      <c r="B10" s="405" t="str">
        <f>names!A1577</f>
        <v>Amortyzacja</v>
      </c>
      <c r="C10" s="131">
        <v>626</v>
      </c>
      <c r="D10" s="131">
        <v>673</v>
      </c>
      <c r="E10" s="131">
        <v>677</v>
      </c>
      <c r="F10" s="131">
        <v>697</v>
      </c>
      <c r="G10" s="229">
        <v>2673</v>
      </c>
      <c r="H10" s="577"/>
    </row>
    <row r="11" spans="1:8" s="1" customFormat="1" ht="11.25">
      <c r="B11" s="405" t="str">
        <f>names!A1578</f>
        <v>(Zysk)/Strata z tytułu różnic kursowych</v>
      </c>
      <c r="C11" s="131">
        <v>68</v>
      </c>
      <c r="D11" s="131">
        <v>314</v>
      </c>
      <c r="E11" s="131">
        <v>-148</v>
      </c>
      <c r="F11" s="131">
        <v>85</v>
      </c>
      <c r="G11" s="229">
        <v>319</v>
      </c>
      <c r="H11" s="577"/>
    </row>
    <row r="12" spans="1:8" s="1" customFormat="1" ht="11.25">
      <c r="B12" s="405" t="str">
        <f>names!A1579</f>
        <v>Odsetki netto</v>
      </c>
      <c r="C12" s="131">
        <v>49</v>
      </c>
      <c r="D12" s="131">
        <v>47</v>
      </c>
      <c r="E12" s="131">
        <v>53</v>
      </c>
      <c r="F12" s="131">
        <v>54</v>
      </c>
      <c r="G12" s="229">
        <v>203</v>
      </c>
      <c r="H12" s="577"/>
    </row>
    <row r="13" spans="1:8" s="1" customFormat="1" ht="11.25">
      <c r="B13" s="405" t="str">
        <f>names!A1580</f>
        <v>Dywidendy</v>
      </c>
      <c r="C13" s="131">
        <v>0</v>
      </c>
      <c r="D13" s="131">
        <v>-4</v>
      </c>
      <c r="E13" s="131">
        <v>0</v>
      </c>
      <c r="F13" s="131">
        <v>0</v>
      </c>
      <c r="G13" s="229">
        <v>-4</v>
      </c>
      <c r="H13" s="577"/>
    </row>
    <row r="14" spans="1:8" s="1" customFormat="1" ht="11.25">
      <c r="B14" s="405" t="str">
        <f>names!A1581</f>
        <v>(Zysk)/Strata na działalności inwestycyjnej, w tym:</v>
      </c>
      <c r="C14" s="131">
        <v>145</v>
      </c>
      <c r="D14" s="131">
        <v>-192</v>
      </c>
      <c r="E14" s="131">
        <v>-145</v>
      </c>
      <c r="F14" s="131">
        <v>-908</v>
      </c>
      <c r="G14" s="229">
        <v>-1100</v>
      </c>
      <c r="H14" s="577"/>
    </row>
    <row r="15" spans="1:8" s="1" customFormat="1" ht="22.5">
      <c r="B15" s="452" t="str">
        <f>names!A1582</f>
        <v>utworzenie/(odwrócenie) odpisów aktualizujących wartość rzeczowych aktywów trwałych, wartości niematerialnych i pozostałych składników majątku trwałego</v>
      </c>
      <c r="C15" s="132">
        <v>-3</v>
      </c>
      <c r="D15" s="132">
        <v>16</v>
      </c>
      <c r="E15" s="132">
        <v>16</v>
      </c>
      <c r="F15" s="132">
        <v>-733</v>
      </c>
      <c r="G15" s="231">
        <v>-704</v>
      </c>
      <c r="H15" s="577"/>
    </row>
    <row r="16" spans="1:8" s="1" customFormat="1" ht="11.25">
      <c r="A16" s="62"/>
      <c r="B16" s="405" t="str">
        <f>names!A1583</f>
        <v xml:space="preserve">Zmiana stanu rezerw </v>
      </c>
      <c r="C16" s="131">
        <v>150</v>
      </c>
      <c r="D16" s="131">
        <v>129</v>
      </c>
      <c r="E16" s="131">
        <v>172</v>
      </c>
      <c r="F16" s="131">
        <v>285</v>
      </c>
      <c r="G16" s="229">
        <v>736</v>
      </c>
      <c r="H16" s="577"/>
    </row>
    <row r="17" spans="1:8" s="1" customFormat="1" ht="11.25">
      <c r="A17" s="62"/>
      <c r="B17" s="407" t="str">
        <f>names!A1584</f>
        <v>Zmiana stanu kapitału pracującego</v>
      </c>
      <c r="C17" s="133">
        <v>-1398</v>
      </c>
      <c r="D17" s="133">
        <v>-710</v>
      </c>
      <c r="E17" s="133">
        <v>631</v>
      </c>
      <c r="F17" s="133">
        <v>-1582</v>
      </c>
      <c r="G17" s="230">
        <v>-3059</v>
      </c>
      <c r="H17" s="577"/>
    </row>
    <row r="18" spans="1:8" s="26" customFormat="1" ht="11.25">
      <c r="A18" s="453"/>
      <c r="B18" s="408" t="str">
        <f>names!A1585</f>
        <v>zapasy</v>
      </c>
      <c r="C18" s="132">
        <v>-880</v>
      </c>
      <c r="D18" s="132">
        <v>-924</v>
      </c>
      <c r="E18" s="132">
        <v>-1026</v>
      </c>
      <c r="F18" s="132">
        <v>1101</v>
      </c>
      <c r="G18" s="231">
        <v>-1729</v>
      </c>
      <c r="H18" s="577"/>
    </row>
    <row r="19" spans="1:8" s="26" customFormat="1" ht="11.25">
      <c r="A19" s="453"/>
      <c r="B19" s="408" t="str">
        <f>names!A1586</f>
        <v>należności</v>
      </c>
      <c r="C19" s="132">
        <v>-280</v>
      </c>
      <c r="D19" s="132">
        <v>-1581</v>
      </c>
      <c r="E19" s="132">
        <v>-633</v>
      </c>
      <c r="F19" s="132">
        <v>1425</v>
      </c>
      <c r="G19" s="231">
        <v>-1069</v>
      </c>
      <c r="H19" s="577"/>
    </row>
    <row r="20" spans="1:8" s="26" customFormat="1" ht="11.25">
      <c r="A20" s="453"/>
      <c r="B20" s="408" t="str">
        <f>names!A1587</f>
        <v>zobowiązania</v>
      </c>
      <c r="C20" s="132">
        <v>-238</v>
      </c>
      <c r="D20" s="132">
        <v>1795</v>
      </c>
      <c r="E20" s="132">
        <v>2290</v>
      </c>
      <c r="F20" s="132">
        <v>-4108</v>
      </c>
      <c r="G20" s="231">
        <v>-261</v>
      </c>
      <c r="H20" s="577"/>
    </row>
    <row r="21" spans="1:8" s="1" customFormat="1" ht="11.25">
      <c r="A21" s="62"/>
      <c r="B21" s="405" t="str">
        <f>names!A1588</f>
        <v>Pozostałe korekty, w tym:</v>
      </c>
      <c r="C21" s="131">
        <v>-137</v>
      </c>
      <c r="D21" s="131">
        <v>-347</v>
      </c>
      <c r="E21" s="131">
        <v>220</v>
      </c>
      <c r="F21" s="131">
        <v>-468</v>
      </c>
      <c r="G21" s="229">
        <v>-732</v>
      </c>
      <c r="H21" s="577"/>
    </row>
    <row r="22" spans="1:8" s="26" customFormat="1" ht="11.25">
      <c r="A22" s="453"/>
      <c r="B22" s="408" t="str">
        <f>names!A1589</f>
        <v>nieodpłatnie otrzymane prawa majątkowe</v>
      </c>
      <c r="C22" s="132">
        <v>-130</v>
      </c>
      <c r="D22" s="132">
        <v>-84</v>
      </c>
      <c r="E22" s="132">
        <v>-152</v>
      </c>
      <c r="F22" s="132">
        <v>-128</v>
      </c>
      <c r="G22" s="231">
        <v>-494</v>
      </c>
      <c r="H22" s="577"/>
    </row>
    <row r="23" spans="1:8" s="1" customFormat="1" ht="12" thickBot="1">
      <c r="A23" s="62"/>
      <c r="B23" s="46" t="str">
        <f>names!A1590</f>
        <v>Podatek dochodowy (zapłacony)</v>
      </c>
      <c r="C23" s="131">
        <v>-203</v>
      </c>
      <c r="D23" s="131">
        <v>-210</v>
      </c>
      <c r="E23" s="131">
        <v>-430</v>
      </c>
      <c r="F23" s="131">
        <v>-196</v>
      </c>
      <c r="G23" s="229">
        <v>-1039</v>
      </c>
      <c r="H23" s="577"/>
    </row>
    <row r="24" spans="1:8" s="1" customFormat="1" ht="12" thickBot="1">
      <c r="A24" s="62"/>
      <c r="B24" s="404" t="str">
        <f>names!A1591</f>
        <v>Środki pieniężne netto z/(wykorzystane w) działalności operacyjnej</v>
      </c>
      <c r="C24" s="134">
        <v>510</v>
      </c>
      <c r="D24" s="134">
        <v>1879</v>
      </c>
      <c r="E24" s="134">
        <v>3552</v>
      </c>
      <c r="F24" s="134">
        <v>-771</v>
      </c>
      <c r="G24" s="185">
        <v>4980</v>
      </c>
      <c r="H24" s="577"/>
    </row>
    <row r="25" spans="1:8" s="1" customFormat="1" ht="11.25">
      <c r="A25" s="62"/>
      <c r="B25" s="406" t="str">
        <f>names!A1592</f>
        <v>Przepływy pieniężne z działalności inwestycyjnej</v>
      </c>
      <c r="C25" s="131"/>
      <c r="D25" s="131"/>
      <c r="E25" s="131"/>
      <c r="F25" s="131"/>
      <c r="G25" s="229"/>
      <c r="H25" s="577"/>
    </row>
    <row r="26" spans="1:8" s="1" customFormat="1" ht="11.25">
      <c r="A26" s="62"/>
      <c r="B26" s="405" t="str">
        <f>names!A1593</f>
        <v>Nabycie składników rzeczowego majątku trwałego, 
wartości niematerialnych i praw wieczystego użytkowania gruntów</v>
      </c>
      <c r="C26" s="131">
        <v>-1149</v>
      </c>
      <c r="D26" s="131">
        <v>-1056</v>
      </c>
      <c r="E26" s="131">
        <v>-1065</v>
      </c>
      <c r="F26" s="131">
        <v>-1374</v>
      </c>
      <c r="G26" s="229">
        <v>-4454</v>
      </c>
      <c r="H26" s="577"/>
    </row>
    <row r="27" spans="1:8" s="1" customFormat="1" ht="11.25">
      <c r="A27" s="62"/>
      <c r="B27" s="405" t="str">
        <f>names!A1594</f>
        <v>Nabycie akcji</v>
      </c>
      <c r="C27" s="131">
        <v>0</v>
      </c>
      <c r="D27" s="131">
        <v>-25</v>
      </c>
      <c r="E27" s="131">
        <v>0</v>
      </c>
      <c r="F27" s="131">
        <v>0</v>
      </c>
      <c r="G27" s="229">
        <v>-25</v>
      </c>
      <c r="H27" s="577"/>
    </row>
    <row r="28" spans="1:8" s="1" customFormat="1" ht="11.25">
      <c r="A28" s="62"/>
      <c r="B28" s="405" t="str">
        <f>names!A1595</f>
        <v>Sprzedaż składników rzeczowego majątku trwałego, 
wartości niematerialnych i praw wieczystego użytkowania gruntów</v>
      </c>
      <c r="C28" s="131">
        <v>58</v>
      </c>
      <c r="D28" s="131">
        <v>47</v>
      </c>
      <c r="E28" s="131">
        <v>21</v>
      </c>
      <c r="F28" s="131">
        <v>35</v>
      </c>
      <c r="G28" s="229">
        <v>161</v>
      </c>
      <c r="H28" s="577"/>
    </row>
    <row r="29" spans="1:8" s="1" customFormat="1" ht="11.25">
      <c r="A29" s="62"/>
      <c r="B29" s="405" t="str">
        <f>names!A1596</f>
        <v>Dywidendy otrzymane</v>
      </c>
      <c r="C29" s="131">
        <v>0</v>
      </c>
      <c r="D29" s="131">
        <v>129</v>
      </c>
      <c r="E29" s="131">
        <v>0</v>
      </c>
      <c r="F29" s="131">
        <v>67</v>
      </c>
      <c r="G29" s="229">
        <v>196</v>
      </c>
      <c r="H29" s="577"/>
    </row>
    <row r="30" spans="1:8" s="1" customFormat="1" ht="11.25">
      <c r="A30" s="62"/>
      <c r="B30" s="405" t="str">
        <f>names!A1597</f>
        <v>Rozliczenie instrumentów pochodnych niewyznaczonych dla celów rachunkowości zabezpieczeń</v>
      </c>
      <c r="C30" s="131">
        <v>-170</v>
      </c>
      <c r="D30" s="131">
        <v>258</v>
      </c>
      <c r="E30" s="131">
        <v>39</v>
      </c>
      <c r="F30" s="131">
        <v>212</v>
      </c>
      <c r="G30" s="229">
        <v>339</v>
      </c>
      <c r="H30" s="577"/>
    </row>
    <row r="31" spans="1:8" s="1" customFormat="1" ht="12" thickBot="1">
      <c r="A31" s="62"/>
      <c r="B31" s="405" t="str">
        <f>names!A1598</f>
        <v>Pozostałe</v>
      </c>
      <c r="C31" s="131">
        <v>-4</v>
      </c>
      <c r="D31" s="131">
        <v>0</v>
      </c>
      <c r="E31" s="131">
        <v>-4</v>
      </c>
      <c r="F31" s="131">
        <v>-7</v>
      </c>
      <c r="G31" s="229">
        <v>-15</v>
      </c>
      <c r="H31" s="577"/>
    </row>
    <row r="32" spans="1:8" s="1" customFormat="1" ht="12" customHeight="1" thickBot="1">
      <c r="A32" s="62"/>
      <c r="B32" s="404" t="str">
        <f>names!A1599</f>
        <v>Środki pieniężne netto z/(wykorzystane w) działalności inwestycyjnej</v>
      </c>
      <c r="C32" s="134">
        <v>-1265</v>
      </c>
      <c r="D32" s="134">
        <v>-647</v>
      </c>
      <c r="E32" s="134">
        <v>-1009</v>
      </c>
      <c r="F32" s="134">
        <v>-1067</v>
      </c>
      <c r="G32" s="185">
        <v>-3798</v>
      </c>
      <c r="H32" s="577"/>
    </row>
    <row r="33" spans="1:8" s="1" customFormat="1" ht="11.25">
      <c r="A33" s="62"/>
      <c r="B33" s="406" t="str">
        <f>names!A1600</f>
        <v>Przepływy pieniężne z działalności finansowej</v>
      </c>
      <c r="C33" s="135"/>
      <c r="D33" s="135"/>
      <c r="E33" s="135"/>
      <c r="F33" s="135"/>
      <c r="G33" s="232"/>
      <c r="H33" s="577"/>
    </row>
    <row r="34" spans="1:8" s="1" customFormat="1" ht="11.25">
      <c r="A34" s="62"/>
      <c r="B34" s="405" t="str">
        <f>names!A1601</f>
        <v>Wykup akcji niekontrolujących Unipetrol a.s.</v>
      </c>
      <c r="C34" s="131">
        <v>-3531</v>
      </c>
      <c r="D34" s="131">
        <v>0</v>
      </c>
      <c r="E34" s="131">
        <v>-691</v>
      </c>
      <c r="F34" s="131">
        <v>0</v>
      </c>
      <c r="G34" s="229">
        <v>-4222</v>
      </c>
      <c r="H34" s="577"/>
    </row>
    <row r="35" spans="1:8" s="1" customFormat="1" ht="11.25">
      <c r="A35" s="62"/>
      <c r="B35" s="405" t="str">
        <f>names!A1602</f>
        <v>Wpływy z otrzymanych kredytów i pożyczek</v>
      </c>
      <c r="C35" s="131">
        <v>2126</v>
      </c>
      <c r="D35" s="131">
        <v>7</v>
      </c>
      <c r="E35" s="131">
        <v>57</v>
      </c>
      <c r="F35" s="131">
        <v>44</v>
      </c>
      <c r="G35" s="229">
        <v>2232</v>
      </c>
      <c r="H35" s="577"/>
    </row>
    <row r="36" spans="1:8" s="1" customFormat="1" ht="11.25">
      <c r="A36" s="62"/>
      <c r="B36" s="405" t="str">
        <f>names!A1603</f>
        <v>Emisja obligacji</v>
      </c>
      <c r="C36" s="131">
        <v>0</v>
      </c>
      <c r="D36" s="131">
        <v>400</v>
      </c>
      <c r="E36" s="131">
        <v>200</v>
      </c>
      <c r="F36" s="131">
        <v>0</v>
      </c>
      <c r="G36" s="229">
        <v>600</v>
      </c>
      <c r="H36" s="577"/>
    </row>
    <row r="37" spans="1:8" s="1" customFormat="1" ht="11.25">
      <c r="A37" s="62"/>
      <c r="B37" s="462" t="str">
        <f>names!A1604</f>
        <v>Spłaty kredytów i pożyczek</v>
      </c>
      <c r="C37" s="131">
        <v>-1</v>
      </c>
      <c r="D37" s="131">
        <v>-90</v>
      </c>
      <c r="E37" s="131">
        <v>-2</v>
      </c>
      <c r="F37" s="131">
        <v>-6</v>
      </c>
      <c r="G37" s="229">
        <v>-97</v>
      </c>
      <c r="H37" s="577"/>
    </row>
    <row r="38" spans="1:8" s="1" customFormat="1" ht="11.25">
      <c r="A38" s="62"/>
      <c r="B38" s="462" t="str">
        <f>names!A1605</f>
        <v>Wykup obligacji</v>
      </c>
      <c r="C38" s="131">
        <v>0</v>
      </c>
      <c r="D38" s="131">
        <v>-200</v>
      </c>
      <c r="E38" s="131">
        <v>0</v>
      </c>
      <c r="F38" s="131">
        <v>0</v>
      </c>
      <c r="G38" s="229">
        <v>-200</v>
      </c>
      <c r="H38" s="577"/>
    </row>
    <row r="39" spans="1:8" s="1" customFormat="1" ht="11.25">
      <c r="A39" s="62"/>
      <c r="B39" s="405" t="str">
        <f>names!A1606</f>
        <v xml:space="preserve">Odsetki zapłacone </v>
      </c>
      <c r="C39" s="131">
        <v>-28</v>
      </c>
      <c r="D39" s="131">
        <v>-152</v>
      </c>
      <c r="E39" s="131">
        <v>-27</v>
      </c>
      <c r="F39" s="131">
        <v>-24</v>
      </c>
      <c r="G39" s="229">
        <v>-231</v>
      </c>
      <c r="H39" s="577"/>
    </row>
    <row r="40" spans="1:8" s="1" customFormat="1" ht="11.25">
      <c r="A40" s="62"/>
      <c r="B40" s="405" t="str">
        <f>names!A1607</f>
        <v>Dywidendy wypłacone</v>
      </c>
      <c r="C40" s="131">
        <v>0</v>
      </c>
      <c r="D40" s="131">
        <v>-1</v>
      </c>
      <c r="E40" s="131">
        <v>-1283</v>
      </c>
      <c r="F40" s="131">
        <v>0</v>
      </c>
      <c r="G40" s="229">
        <v>-1284</v>
      </c>
      <c r="H40" s="577"/>
    </row>
    <row r="41" spans="1:8" s="1" customFormat="1" ht="11.25">
      <c r="A41" s="62"/>
      <c r="B41" s="408" t="str">
        <f>names!A1608</f>
        <v>akcjonariuszom jednostki dominującej</v>
      </c>
      <c r="C41" s="132">
        <v>0</v>
      </c>
      <c r="D41" s="132">
        <v>0</v>
      </c>
      <c r="E41" s="132">
        <v>-1283</v>
      </c>
      <c r="F41" s="132">
        <v>0</v>
      </c>
      <c r="G41" s="231">
        <v>-1283</v>
      </c>
      <c r="H41" s="577"/>
    </row>
    <row r="42" spans="1:8" s="1" customFormat="1" ht="11.25">
      <c r="A42" s="62"/>
      <c r="B42" s="408" t="str">
        <f>names!A1609</f>
        <v xml:space="preserve">akcjonariuszom niekontrolującym </v>
      </c>
      <c r="C42" s="132">
        <v>0</v>
      </c>
      <c r="D42" s="132">
        <v>-1</v>
      </c>
      <c r="E42" s="132">
        <v>0</v>
      </c>
      <c r="F42" s="132">
        <v>0</v>
      </c>
      <c r="G42" s="231">
        <v>-1</v>
      </c>
      <c r="H42" s="577"/>
    </row>
    <row r="43" spans="1:8" s="1" customFormat="1" ht="11.25">
      <c r="A43" s="62"/>
      <c r="B43" s="405" t="str">
        <f>names!A1610</f>
        <v>Płatności  zobowiązań  z  tytułu  umów  leasingu  finansowego</v>
      </c>
      <c r="C43" s="131">
        <v>-8</v>
      </c>
      <c r="D43" s="131">
        <v>-9</v>
      </c>
      <c r="E43" s="131">
        <v>-7</v>
      </c>
      <c r="F43" s="131">
        <v>-8</v>
      </c>
      <c r="G43" s="229">
        <v>-32</v>
      </c>
      <c r="H43" s="577"/>
    </row>
    <row r="44" spans="1:8" s="1" customFormat="1" ht="12" thickBot="1">
      <c r="A44" s="62"/>
      <c r="B44" s="405" t="str">
        <f>names!A1611</f>
        <v>Pozostałe</v>
      </c>
      <c r="C44" s="131">
        <v>-1</v>
      </c>
      <c r="D44" s="131">
        <v>0</v>
      </c>
      <c r="E44" s="131">
        <v>-3</v>
      </c>
      <c r="F44" s="131">
        <v>1</v>
      </c>
      <c r="G44" s="229">
        <v>-3</v>
      </c>
      <c r="H44" s="577"/>
    </row>
    <row r="45" spans="1:8" s="1" customFormat="1" ht="12" thickBot="1">
      <c r="A45" s="62"/>
      <c r="B45" s="404" t="str">
        <f>names!A1612</f>
        <v>Środki pieniężne netto z/(wykorzystane w) działalności finansowej</v>
      </c>
      <c r="C45" s="134">
        <v>-1443</v>
      </c>
      <c r="D45" s="134">
        <v>-45</v>
      </c>
      <c r="E45" s="134">
        <v>-1756</v>
      </c>
      <c r="F45" s="134">
        <v>7</v>
      </c>
      <c r="G45" s="185">
        <v>-3237</v>
      </c>
      <c r="H45" s="577"/>
    </row>
    <row r="46" spans="1:8" s="55" customFormat="1" ht="11.25">
      <c r="A46" s="64"/>
      <c r="B46" s="410"/>
      <c r="C46" s="136"/>
      <c r="D46" s="136"/>
      <c r="E46" s="136"/>
      <c r="F46" s="136"/>
      <c r="G46" s="233"/>
      <c r="H46" s="577"/>
    </row>
    <row r="47" spans="1:8" s="1" customFormat="1" ht="11.25">
      <c r="A47" s="62"/>
      <c r="B47" s="402" t="str">
        <f>names!A1614</f>
        <v>Zwiększenie/(Zmniejszenie) netto stanu środków pieniężnych i ich ekwiwalentów</v>
      </c>
      <c r="C47" s="130">
        <v>-2198</v>
      </c>
      <c r="D47" s="130">
        <v>1187</v>
      </c>
      <c r="E47" s="130">
        <v>787</v>
      </c>
      <c r="F47" s="130">
        <v>-1831</v>
      </c>
      <c r="G47" s="228">
        <v>-2055</v>
      </c>
      <c r="H47" s="577"/>
    </row>
    <row r="48" spans="1:8" s="1" customFormat="1" ht="11.25">
      <c r="A48" s="123"/>
      <c r="B48" s="407" t="str">
        <f>names!A1615</f>
        <v>Zmiana stanu środków pieniężnych i ich ekwiwalentów z tytułu różnic kursowych</v>
      </c>
      <c r="C48" s="133">
        <v>34</v>
      </c>
      <c r="D48" s="133">
        <v>11</v>
      </c>
      <c r="E48" s="133">
        <v>-53</v>
      </c>
      <c r="F48" s="133">
        <v>11</v>
      </c>
      <c r="G48" s="230">
        <v>3</v>
      </c>
      <c r="H48" s="577"/>
    </row>
    <row r="49" spans="1:8" s="1" customFormat="1" ht="11.25">
      <c r="A49" s="123"/>
      <c r="B49" s="407" t="str">
        <f>names!A1616</f>
        <v>Środki pieniężne i ich ekwiwalenty na początek okresu</v>
      </c>
      <c r="C49" s="133">
        <v>6244</v>
      </c>
      <c r="D49" s="133">
        <v>4080</v>
      </c>
      <c r="E49" s="133">
        <v>5278</v>
      </c>
      <c r="F49" s="133">
        <v>6012</v>
      </c>
      <c r="G49" s="230">
        <v>6244</v>
      </c>
      <c r="H49" s="577"/>
    </row>
    <row r="50" spans="1:8" s="55" customFormat="1" ht="12" thickBot="1">
      <c r="A50" s="64"/>
      <c r="B50" s="411"/>
      <c r="C50" s="137"/>
      <c r="D50" s="137"/>
      <c r="E50" s="137"/>
      <c r="F50" s="137"/>
      <c r="G50" s="234"/>
      <c r="H50" s="577"/>
    </row>
    <row r="51" spans="1:8" s="1" customFormat="1" ht="12" thickBot="1">
      <c r="A51" s="62"/>
      <c r="B51" s="404" t="str">
        <f>names!A1618</f>
        <v>Środki pieniężne i ich ekwiwalenty na koniec okresu</v>
      </c>
      <c r="C51" s="134">
        <v>4080</v>
      </c>
      <c r="D51" s="134">
        <v>5278</v>
      </c>
      <c r="E51" s="134">
        <v>6012</v>
      </c>
      <c r="F51" s="134">
        <v>4192</v>
      </c>
      <c r="G51" s="185">
        <v>4192</v>
      </c>
      <c r="H51" s="577"/>
    </row>
    <row r="52" spans="1:8" ht="38.25" customHeight="1">
      <c r="A52" s="28"/>
      <c r="B52" s="1013" t="str">
        <f>names!A1619</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C52" s="1013" t="str">
        <f>names!B1619</f>
        <v>*) W okresie 12 i 3 miesięcy zakończonym 31 grudnia 2018 roku Grupa dokonała korekty rozpoznanych w pozycji kary i odszkodowania kar otrzymanych za nienależyte wykonanie kontraktu budowy elektrociepłowni CCGT w Płocku w wysokości 190 mln PLN i skorygowała cenę nabycia środka trwałego.</v>
      </c>
      <c r="D52" s="1013" t="str">
        <f>names!C1619</f>
        <v>*)  In the 12 and 3 month period ended 2018, the Group adjusted in the line penalties and compensations penalties received for improper execution of the contract of the power plant CCGT in Płock in the amount of PLN 190 million, and adjusted the purchase price of non-current asset.</v>
      </c>
      <c r="E52" s="1013">
        <f>names!E1619</f>
        <v>0</v>
      </c>
      <c r="F52" s="1013">
        <f>names!F1619</f>
        <v>0</v>
      </c>
      <c r="G52" s="1013">
        <f>names!G1619</f>
        <v>0</v>
      </c>
      <c r="H52" s="577"/>
    </row>
    <row r="53" spans="1:8">
      <c r="A53" s="28"/>
      <c r="C53" s="183"/>
      <c r="D53" s="183"/>
      <c r="E53" s="183"/>
      <c r="F53" s="183"/>
      <c r="G53" s="183"/>
    </row>
    <row r="54" spans="1:8">
      <c r="A54" s="28"/>
      <c r="B54" s="577"/>
      <c r="C54" s="577"/>
      <c r="D54" s="577"/>
      <c r="E54" s="577"/>
      <c r="F54" s="577"/>
      <c r="G54" s="577"/>
    </row>
    <row r="55" spans="1:8">
      <c r="A55" s="28"/>
      <c r="C55" s="21"/>
      <c r="D55" s="21"/>
      <c r="E55" s="21"/>
      <c r="F55" s="21"/>
      <c r="G55" s="21"/>
    </row>
    <row r="56" spans="1:8">
      <c r="A56" s="28"/>
      <c r="B56" s="46"/>
      <c r="C56" s="23"/>
      <c r="D56" s="23"/>
      <c r="E56" s="23"/>
      <c r="F56" s="23"/>
      <c r="G56" s="23"/>
    </row>
    <row r="57" spans="1:8">
      <c r="A57" s="28"/>
      <c r="B57" s="46"/>
      <c r="C57" s="23"/>
      <c r="D57" s="23"/>
      <c r="E57" s="23"/>
      <c r="F57" s="23"/>
      <c r="G57" s="23"/>
    </row>
    <row r="58" spans="1:8">
      <c r="A58" s="28"/>
      <c r="B58" s="46"/>
      <c r="C58" s="23"/>
      <c r="D58" s="23"/>
      <c r="E58" s="23"/>
      <c r="F58" s="23"/>
      <c r="G58" s="23"/>
    </row>
    <row r="59" spans="1:8">
      <c r="A59" s="28"/>
      <c r="B59" s="46"/>
      <c r="C59" s="23"/>
      <c r="D59" s="23"/>
      <c r="E59" s="23"/>
      <c r="F59" s="23"/>
      <c r="G59" s="23"/>
    </row>
    <row r="60" spans="1:8">
      <c r="A60" s="28"/>
      <c r="B60" s="46"/>
      <c r="C60" s="23"/>
      <c r="D60" s="23"/>
      <c r="E60" s="23"/>
      <c r="F60" s="23"/>
      <c r="G60" s="23"/>
    </row>
    <row r="61" spans="1:8">
      <c r="A61" s="28"/>
      <c r="B61" s="46"/>
      <c r="C61" s="23"/>
      <c r="D61" s="23"/>
      <c r="E61" s="23"/>
      <c r="F61" s="23"/>
      <c r="G61" s="23"/>
    </row>
    <row r="62" spans="1:8">
      <c r="A62" s="28"/>
      <c r="B62" s="46"/>
      <c r="C62" s="23"/>
      <c r="D62" s="23"/>
      <c r="E62" s="23"/>
      <c r="F62" s="23"/>
      <c r="G62" s="23"/>
    </row>
    <row r="63" spans="1:8">
      <c r="A63" s="28"/>
      <c r="B63" s="46"/>
      <c r="C63" s="23"/>
      <c r="D63" s="23"/>
      <c r="E63" s="23"/>
      <c r="F63" s="23"/>
      <c r="G63" s="23"/>
    </row>
    <row r="64" spans="1:8">
      <c r="A64" s="28"/>
      <c r="B64" s="46"/>
    </row>
    <row r="65" spans="1:7">
      <c r="A65" s="28"/>
    </row>
    <row r="66" spans="1:7">
      <c r="A66" s="28"/>
    </row>
    <row r="67" spans="1:7">
      <c r="A67" s="28"/>
    </row>
    <row r="68" spans="1:7">
      <c r="A68" s="28"/>
    </row>
    <row r="69" spans="1:7">
      <c r="A69" s="28"/>
    </row>
    <row r="70" spans="1:7">
      <c r="A70" s="28"/>
    </row>
    <row r="71" spans="1:7">
      <c r="A71" s="28"/>
    </row>
    <row r="72" spans="1:7">
      <c r="A72" s="28"/>
    </row>
    <row r="73" spans="1:7">
      <c r="A73" s="28"/>
    </row>
    <row r="74" spans="1:7">
      <c r="A74" s="28"/>
    </row>
    <row r="75" spans="1:7">
      <c r="A75" s="28"/>
    </row>
    <row r="76" spans="1:7">
      <c r="A76" s="28"/>
    </row>
    <row r="77" spans="1:7">
      <c r="A77" s="28"/>
    </row>
    <row r="78" spans="1:7">
      <c r="A78" s="28"/>
    </row>
    <row r="79" spans="1:7" s="13" customFormat="1">
      <c r="A79" s="28"/>
      <c r="C79" s="10"/>
      <c r="D79" s="10"/>
      <c r="E79" s="10"/>
      <c r="F79" s="10"/>
      <c r="G79" s="10"/>
    </row>
    <row r="80" spans="1:7" s="13" customFormat="1">
      <c r="A80" s="28"/>
      <c r="C80" s="10"/>
      <c r="D80" s="10"/>
      <c r="E80" s="10"/>
      <c r="F80" s="10"/>
      <c r="G80" s="10"/>
    </row>
  </sheetData>
  <mergeCells count="1">
    <mergeCell ref="B52:G52"/>
  </mergeCells>
  <conditionalFormatting sqref="B54:G54">
    <cfRule type="cellIs" dxfId="25" priority="2" operator="equal">
      <formula>FALSE</formula>
    </cfRule>
  </conditionalFormatting>
  <conditionalFormatting sqref="H2:H52">
    <cfRule type="cellIs" dxfId="24"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3"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34998626667073579"/>
    <pageSetUpPr fitToPage="1"/>
  </sheetPr>
  <dimension ref="A2:H82"/>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86.7109375" style="13" customWidth="1"/>
    <col min="3" max="6" width="8.5703125" style="10" hidden="1" customWidth="1" outlineLevel="1"/>
    <col min="7" max="7" width="10.28515625" style="10" customWidth="1" collapsed="1"/>
  </cols>
  <sheetData>
    <row r="2" spans="2:8" ht="15.75">
      <c r="B2" s="397" t="str">
        <f>names!A1623</f>
        <v>Skonsolidowane sprawozdanie z przepływów pieniężnych</v>
      </c>
      <c r="H2" s="577"/>
    </row>
    <row r="3" spans="2:8" ht="10.15" customHeight="1">
      <c r="H3" s="577"/>
    </row>
    <row r="4" spans="2:8" s="1" customFormat="1" ht="27.75" customHeight="1">
      <c r="B4" s="15" t="str">
        <f>names!A1625</f>
        <v>Wyszczególnienie, 
mln PLN</v>
      </c>
      <c r="C4" s="15" t="str">
        <f>names!$A531</f>
        <v>I kw.
2019</v>
      </c>
      <c r="D4" s="15" t="str">
        <f>names!$A532</f>
        <v>II kw.
2019</v>
      </c>
      <c r="E4" s="15" t="str">
        <f>names!$A533</f>
        <v>III kw.
2019</v>
      </c>
      <c r="F4" s="15" t="str">
        <f>names!$A534</f>
        <v>IV kw.
2019</v>
      </c>
      <c r="G4" s="15" t="str">
        <f>names!$A535</f>
        <v>12 m-cy
2019</v>
      </c>
      <c r="H4" s="577"/>
    </row>
    <row r="5" spans="2:8" s="30" customFormat="1" ht="7.15" customHeight="1">
      <c r="B5" s="92"/>
      <c r="C5" s="92"/>
      <c r="D5" s="92"/>
      <c r="E5" s="92"/>
      <c r="F5" s="92"/>
      <c r="G5" s="92"/>
      <c r="H5" s="577"/>
    </row>
    <row r="6" spans="2:8" s="1" customFormat="1" ht="11.25">
      <c r="B6" s="406" t="str">
        <f>names!A1627</f>
        <v>Przepływy pieniężne z działalności operacyjnej</v>
      </c>
      <c r="C6" s="27"/>
      <c r="D6" s="27"/>
      <c r="E6" s="27"/>
      <c r="F6" s="27"/>
      <c r="G6" s="227"/>
      <c r="H6" s="577"/>
    </row>
    <row r="7" spans="2:8" s="1" customFormat="1" ht="11.25">
      <c r="B7" s="402" t="str">
        <f>names!A1628</f>
        <v>Zysk przed opodatkowaniem</v>
      </c>
      <c r="C7" s="130">
        <v>994</v>
      </c>
      <c r="D7" s="130">
        <v>2123</v>
      </c>
      <c r="E7" s="130">
        <v>1567</v>
      </c>
      <c r="F7" s="130">
        <v>668</v>
      </c>
      <c r="G7" s="228">
        <v>5352</v>
      </c>
      <c r="H7" s="577"/>
    </row>
    <row r="8" spans="2:8" s="1" customFormat="1" ht="11.25">
      <c r="B8" s="46" t="str">
        <f>names!A1629</f>
        <v>Korekty o pozycje:</v>
      </c>
      <c r="C8" s="131"/>
      <c r="D8" s="131"/>
      <c r="E8" s="131"/>
      <c r="F8" s="131"/>
      <c r="G8" s="229"/>
      <c r="H8" s="577"/>
    </row>
    <row r="9" spans="2:8" s="1" customFormat="1" ht="11.25" customHeight="1">
      <c r="B9" s="405" t="str">
        <f>names!A1630</f>
        <v>Udział w wyniku finansowym jednostek wycenianych metodą praw własności</v>
      </c>
      <c r="C9" s="131">
        <v>-44</v>
      </c>
      <c r="D9" s="131">
        <v>-38</v>
      </c>
      <c r="E9" s="131">
        <v>-35</v>
      </c>
      <c r="F9" s="131">
        <v>-19</v>
      </c>
      <c r="G9" s="229">
        <v>-136</v>
      </c>
      <c r="H9" s="577"/>
    </row>
    <row r="10" spans="2:8" s="1" customFormat="1" ht="11.25">
      <c r="B10" s="405" t="str">
        <f>names!A1631</f>
        <v>Amortyzacja</v>
      </c>
      <c r="C10" s="131">
        <v>833</v>
      </c>
      <c r="D10" s="131">
        <v>846</v>
      </c>
      <c r="E10" s="131">
        <v>893</v>
      </c>
      <c r="F10" s="131">
        <v>925</v>
      </c>
      <c r="G10" s="229">
        <v>3497</v>
      </c>
      <c r="H10" s="577"/>
    </row>
    <row r="11" spans="2:8" s="1" customFormat="1" ht="11.25">
      <c r="B11" s="405" t="str">
        <f>names!A1632</f>
        <v>(Zysk)/Strata z tytułu różnic kursowych</v>
      </c>
      <c r="C11" s="131">
        <v>15</v>
      </c>
      <c r="D11" s="131">
        <v>-100</v>
      </c>
      <c r="E11" s="131">
        <v>239</v>
      </c>
      <c r="F11" s="131">
        <v>-226</v>
      </c>
      <c r="G11" s="229">
        <v>-72</v>
      </c>
      <c r="H11" s="577"/>
    </row>
    <row r="12" spans="2:8" s="1" customFormat="1" ht="11.25">
      <c r="B12" s="405" t="str">
        <f>names!A1633</f>
        <v>Odsetki netto</v>
      </c>
      <c r="C12" s="131">
        <v>70</v>
      </c>
      <c r="D12" s="131">
        <v>55</v>
      </c>
      <c r="E12" s="131">
        <v>67</v>
      </c>
      <c r="F12" s="131">
        <v>80</v>
      </c>
      <c r="G12" s="229">
        <v>272</v>
      </c>
      <c r="H12" s="577"/>
    </row>
    <row r="13" spans="2:8" s="1" customFormat="1" ht="11.25">
      <c r="B13" s="405" t="str">
        <f>names!A1634</f>
        <v>Dywidendy</v>
      </c>
      <c r="C13" s="131">
        <v>0</v>
      </c>
      <c r="D13" s="131">
        <v>-5</v>
      </c>
      <c r="E13" s="131">
        <v>0</v>
      </c>
      <c r="F13" s="131">
        <v>0</v>
      </c>
      <c r="G13" s="229">
        <v>-5</v>
      </c>
      <c r="H13" s="577"/>
    </row>
    <row r="14" spans="2:8" s="1" customFormat="1" ht="11.25">
      <c r="B14" s="405" t="str">
        <f>names!A1635</f>
        <v>(Zysk)/Strata na działalności inwestycyjnej</v>
      </c>
      <c r="C14" s="131">
        <v>-19</v>
      </c>
      <c r="D14" s="131">
        <v>26</v>
      </c>
      <c r="E14" s="131">
        <v>175</v>
      </c>
      <c r="F14" s="131">
        <v>134</v>
      </c>
      <c r="G14" s="229">
        <v>316</v>
      </c>
      <c r="H14" s="577"/>
    </row>
    <row r="15" spans="2:8" s="26" customFormat="1" ht="22.5">
      <c r="B15" s="452" t="str">
        <f>names!A1636</f>
        <v>utworzenie/(odwrócenie) odpisów aktualizujących wartość rzeczowych aktywów trwałych, 
wartości niematerialnych i pozostałych składników majątku trwałego</v>
      </c>
      <c r="C15" s="132">
        <v>10</v>
      </c>
      <c r="D15" s="132">
        <v>17</v>
      </c>
      <c r="E15" s="132">
        <v>73</v>
      </c>
      <c r="F15" s="132">
        <v>79</v>
      </c>
      <c r="G15" s="231">
        <v>179</v>
      </c>
      <c r="H15" s="577"/>
    </row>
    <row r="16" spans="2:8" s="26" customFormat="1" ht="11.25">
      <c r="B16" s="452" t="str">
        <f>names!A1637</f>
        <v>rozliczenie i wycena pochodnych instrumentów finansowych</v>
      </c>
      <c r="C16" s="132">
        <v>-28</v>
      </c>
      <c r="D16" s="132">
        <f>-70+28</f>
        <v>-42</v>
      </c>
      <c r="E16" s="132">
        <f>18-D16-C16</f>
        <v>88</v>
      </c>
      <c r="F16" s="132">
        <v>143</v>
      </c>
      <c r="G16" s="231">
        <v>161</v>
      </c>
      <c r="H16" s="577"/>
    </row>
    <row r="17" spans="1:8" s="1" customFormat="1" ht="11.25">
      <c r="A17" s="62"/>
      <c r="B17" s="405" t="str">
        <f>names!A1638</f>
        <v xml:space="preserve">Zmiana stanu rezerw </v>
      </c>
      <c r="C17" s="131">
        <v>251</v>
      </c>
      <c r="D17" s="131">
        <v>266</v>
      </c>
      <c r="E17" s="131">
        <v>167</v>
      </c>
      <c r="F17" s="131">
        <v>351</v>
      </c>
      <c r="G17" s="229">
        <v>1035</v>
      </c>
      <c r="H17" s="577"/>
    </row>
    <row r="18" spans="1:8" s="1" customFormat="1" ht="11.25">
      <c r="A18" s="62"/>
      <c r="B18" s="407" t="str">
        <f>names!A1639</f>
        <v>Zmiana stanu kapitału pracującego</v>
      </c>
      <c r="C18" s="133">
        <v>-542</v>
      </c>
      <c r="D18" s="133">
        <v>1194</v>
      </c>
      <c r="E18" s="133">
        <v>726</v>
      </c>
      <c r="F18" s="133">
        <v>-196</v>
      </c>
      <c r="G18" s="230">
        <v>1182</v>
      </c>
      <c r="H18" s="577"/>
    </row>
    <row r="19" spans="1:8" s="26" customFormat="1" ht="11.25">
      <c r="A19" s="453"/>
      <c r="B19" s="408" t="str">
        <f>names!A1640</f>
        <v>zapasy</v>
      </c>
      <c r="C19" s="132">
        <v>-955</v>
      </c>
      <c r="D19" s="132">
        <v>752</v>
      </c>
      <c r="E19" s="132">
        <v>28</v>
      </c>
      <c r="F19" s="132">
        <v>-534</v>
      </c>
      <c r="G19" s="231">
        <v>-709</v>
      </c>
      <c r="H19" s="577"/>
    </row>
    <row r="20" spans="1:8" s="26" customFormat="1" ht="11.25">
      <c r="A20" s="453"/>
      <c r="B20" s="408" t="str">
        <f>names!A1641</f>
        <v>należności</v>
      </c>
      <c r="C20" s="132">
        <v>-987</v>
      </c>
      <c r="D20" s="132">
        <v>-340</v>
      </c>
      <c r="E20" s="132">
        <v>702</v>
      </c>
      <c r="F20" s="132">
        <v>1567</v>
      </c>
      <c r="G20" s="231">
        <v>942</v>
      </c>
      <c r="H20" s="577"/>
    </row>
    <row r="21" spans="1:8" s="26" customFormat="1" ht="11.25">
      <c r="A21" s="453"/>
      <c r="B21" s="408" t="str">
        <f>names!A1642</f>
        <v>zobowiązania</v>
      </c>
      <c r="C21" s="132">
        <v>1400</v>
      </c>
      <c r="D21" s="132">
        <v>782</v>
      </c>
      <c r="E21" s="132">
        <v>-4</v>
      </c>
      <c r="F21" s="132">
        <v>-1229</v>
      </c>
      <c r="G21" s="231">
        <v>949</v>
      </c>
      <c r="H21" s="577"/>
    </row>
    <row r="22" spans="1:8" s="1" customFormat="1" ht="11.25">
      <c r="A22" s="62"/>
      <c r="B22" s="405" t="str">
        <f>names!A1643</f>
        <v>Pozostałe korekty, w tym:</v>
      </c>
      <c r="C22" s="131">
        <v>199</v>
      </c>
      <c r="D22" s="131">
        <v>-518</v>
      </c>
      <c r="E22" s="131">
        <v>-26</v>
      </c>
      <c r="F22" s="131">
        <v>-279</v>
      </c>
      <c r="G22" s="229">
        <v>-624</v>
      </c>
      <c r="H22" s="577"/>
    </row>
    <row r="23" spans="1:8" s="26" customFormat="1" ht="11.25">
      <c r="A23" s="453"/>
      <c r="B23" s="408" t="str">
        <f>names!A1644</f>
        <v>nieodpłatnie otrzymane prawa majątkowe</v>
      </c>
      <c r="C23" s="132">
        <v>-165</v>
      </c>
      <c r="D23" s="132">
        <v>-172</v>
      </c>
      <c r="E23" s="132">
        <v>-164</v>
      </c>
      <c r="F23" s="132">
        <v>-182</v>
      </c>
      <c r="G23" s="231">
        <v>-683</v>
      </c>
      <c r="H23" s="577"/>
    </row>
    <row r="24" spans="1:8" s="26" customFormat="1" ht="11.25">
      <c r="A24" s="453"/>
      <c r="B24" s="408" t="str">
        <f>names!A1645</f>
        <v>depozyty zabezpieczające</v>
      </c>
      <c r="C24" s="132">
        <v>-1</v>
      </c>
      <c r="D24" s="132">
        <f>-74+1</f>
        <v>-73</v>
      </c>
      <c r="E24" s="132">
        <f>-180+74</f>
        <v>-106</v>
      </c>
      <c r="F24" s="132">
        <f>-367+180</f>
        <v>-187</v>
      </c>
      <c r="G24" s="231">
        <v>-367</v>
      </c>
      <c r="H24" s="577"/>
    </row>
    <row r="25" spans="1:8" s="26" customFormat="1" ht="11.25">
      <c r="A25" s="453"/>
      <c r="B25" s="408" t="str">
        <f>names!A1646</f>
        <v>zmiana stanu rozrachunków z tytułu rozliczonych instrumentów pochodnych niewyznaczonych dla celów rachunkowości zabezpieczeń</v>
      </c>
      <c r="C25" s="132">
        <v>331</v>
      </c>
      <c r="D25" s="132">
        <f>12-331</f>
        <v>-319</v>
      </c>
      <c r="E25" s="132">
        <f>196-12</f>
        <v>184</v>
      </c>
      <c r="F25" s="132">
        <f>268-196</f>
        <v>72</v>
      </c>
      <c r="G25" s="231">
        <v>268</v>
      </c>
      <c r="H25" s="577"/>
    </row>
    <row r="26" spans="1:8" s="1" customFormat="1" ht="12" thickBot="1">
      <c r="A26" s="62"/>
      <c r="B26" s="46" t="str">
        <f>names!A1647</f>
        <v>Podatek dochodowy (zapłacony)</v>
      </c>
      <c r="C26" s="131">
        <v>-566</v>
      </c>
      <c r="D26" s="131">
        <v>-355</v>
      </c>
      <c r="E26" s="131">
        <v>-342</v>
      </c>
      <c r="F26" s="131">
        <v>-235</v>
      </c>
      <c r="G26" s="229">
        <v>-1498</v>
      </c>
      <c r="H26" s="577"/>
    </row>
    <row r="27" spans="1:8" s="1" customFormat="1" ht="12" thickBot="1">
      <c r="A27" s="62"/>
      <c r="B27" s="404" t="str">
        <f>names!A1648</f>
        <v>Środki pieniężne netto z/(wykorzystane w) działalności operacyjnej</v>
      </c>
      <c r="C27" s="134">
        <v>1191</v>
      </c>
      <c r="D27" s="134">
        <v>3494</v>
      </c>
      <c r="E27" s="134">
        <v>3431</v>
      </c>
      <c r="F27" s="134">
        <v>1203</v>
      </c>
      <c r="G27" s="185">
        <v>9319</v>
      </c>
      <c r="H27" s="577"/>
    </row>
    <row r="28" spans="1:8" s="1" customFormat="1" ht="11.25">
      <c r="A28" s="62"/>
      <c r="B28" s="406" t="str">
        <f>names!A1649</f>
        <v>Przepływy pieniężne z działalności inwestycyjnej</v>
      </c>
      <c r="C28" s="131"/>
      <c r="D28" s="131"/>
      <c r="E28" s="131"/>
      <c r="F28" s="131">
        <v>0</v>
      </c>
      <c r="G28" s="229"/>
      <c r="H28" s="577"/>
    </row>
    <row r="29" spans="1:8" s="1" customFormat="1" ht="22.5">
      <c r="A29" s="62"/>
      <c r="B29" s="469" t="str">
        <f>names!A1650</f>
        <v>Nabycie składników rzeczowego majątku trwałego, 
wartości niematerialnych i aktywów z tytułu praw do użytkowania</v>
      </c>
      <c r="C29" s="131">
        <v>-834</v>
      </c>
      <c r="D29" s="131">
        <v>-894</v>
      </c>
      <c r="E29" s="131">
        <v>-1070</v>
      </c>
      <c r="F29" s="131">
        <v>-1652</v>
      </c>
      <c r="G29" s="229">
        <v>-4450</v>
      </c>
      <c r="H29" s="577"/>
    </row>
    <row r="30" spans="1:8" s="1" customFormat="1" ht="22.5">
      <c r="A30" s="62"/>
      <c r="B30" s="469" t="str">
        <f>names!A1651</f>
        <v>Sprzedaż składników rzeczowego majątku trwałego, 
wartości niematerialnych i aktywów z tytułu praw do użytkowania</v>
      </c>
      <c r="C30" s="131">
        <v>171</v>
      </c>
      <c r="D30" s="131">
        <v>63</v>
      </c>
      <c r="E30" s="131">
        <v>3</v>
      </c>
      <c r="F30" s="131">
        <v>8</v>
      </c>
      <c r="G30" s="229">
        <v>245</v>
      </c>
      <c r="H30" s="577"/>
    </row>
    <row r="31" spans="1:8" s="1" customFormat="1" ht="11.25">
      <c r="A31" s="62"/>
      <c r="B31" s="469" t="str">
        <f>names!A1652</f>
        <v>Dywidendy otrzymane</v>
      </c>
      <c r="C31" s="131">
        <v>0</v>
      </c>
      <c r="D31" s="131">
        <v>112</v>
      </c>
      <c r="E31" s="131">
        <v>0</v>
      </c>
      <c r="F31" s="131">
        <v>0</v>
      </c>
      <c r="G31" s="229">
        <v>112</v>
      </c>
      <c r="H31" s="577"/>
    </row>
    <row r="32" spans="1:8" s="1" customFormat="1" ht="11.25">
      <c r="A32" s="62"/>
      <c r="B32" s="405" t="str">
        <f>names!A1653</f>
        <v>Rozliczenie instrumentów pochodnych niewyznaczonych dla celów rachunkowości zabezpieczeń</v>
      </c>
      <c r="C32" s="131">
        <v>-8</v>
      </c>
      <c r="D32" s="131">
        <v>48</v>
      </c>
      <c r="E32" s="131">
        <v>37</v>
      </c>
      <c r="F32" s="131">
        <v>5</v>
      </c>
      <c r="G32" s="229">
        <v>82</v>
      </c>
      <c r="H32" s="577"/>
    </row>
    <row r="33" spans="1:8" s="1" customFormat="1" ht="12" thickBot="1">
      <c r="A33" s="62"/>
      <c r="B33" s="405" t="str">
        <f>names!A1654</f>
        <v>Pozostałe</v>
      </c>
      <c r="C33" s="131">
        <v>5</v>
      </c>
      <c r="D33" s="131">
        <v>-4</v>
      </c>
      <c r="E33" s="131">
        <v>-2</v>
      </c>
      <c r="F33" s="131">
        <v>18</v>
      </c>
      <c r="G33" s="229">
        <v>17</v>
      </c>
      <c r="H33" s="577"/>
    </row>
    <row r="34" spans="1:8" s="1" customFormat="1" ht="12" customHeight="1" thickBot="1">
      <c r="A34" s="62"/>
      <c r="B34" s="404" t="str">
        <f>names!A1655</f>
        <v>Środki pieniężne netto z/(wykorzystane w) działalności inwestycyjnej</v>
      </c>
      <c r="C34" s="134">
        <v>-666</v>
      </c>
      <c r="D34" s="134">
        <v>-675</v>
      </c>
      <c r="E34" s="134">
        <v>-1032</v>
      </c>
      <c r="F34" s="134">
        <v>-1621</v>
      </c>
      <c r="G34" s="185">
        <v>-3994</v>
      </c>
      <c r="H34" s="577"/>
    </row>
    <row r="35" spans="1:8" s="1" customFormat="1" ht="11.25">
      <c r="A35" s="62"/>
      <c r="B35" s="406" t="str">
        <f>names!A1656</f>
        <v>Przepływy pieniężne z działalności finansowej</v>
      </c>
      <c r="C35" s="135"/>
      <c r="D35" s="135"/>
      <c r="E35" s="135"/>
      <c r="F35" s="135"/>
      <c r="G35" s="232"/>
      <c r="H35" s="577"/>
    </row>
    <row r="36" spans="1:8" s="1" customFormat="1" ht="11.25">
      <c r="A36" s="62"/>
      <c r="B36" s="405" t="str">
        <f>names!A1657</f>
        <v>Zmiana środków pieniężnych związana z wykupem akcjonariuszy niekontrolujących UNIPETROL, a.s.</v>
      </c>
      <c r="C36" s="131">
        <v>212</v>
      </c>
      <c r="D36" s="131">
        <v>-12</v>
      </c>
      <c r="E36" s="131">
        <v>0</v>
      </c>
      <c r="F36" s="131">
        <v>-10</v>
      </c>
      <c r="G36" s="229">
        <v>190</v>
      </c>
      <c r="H36" s="577"/>
    </row>
    <row r="37" spans="1:8" s="1" customFormat="1" ht="11.25">
      <c r="A37" s="62"/>
      <c r="B37" s="405" t="str">
        <f>names!A1658</f>
        <v>Wpływy z otrzymanych kredytów</v>
      </c>
      <c r="C37" s="131">
        <v>304</v>
      </c>
      <c r="D37" s="131">
        <v>58</v>
      </c>
      <c r="E37" s="131">
        <v>7</v>
      </c>
      <c r="F37" s="131">
        <v>12</v>
      </c>
      <c r="G37" s="229">
        <v>381</v>
      </c>
      <c r="H37" s="577"/>
    </row>
    <row r="38" spans="1:8" s="1" customFormat="1" ht="11.25">
      <c r="A38" s="62"/>
      <c r="B38" s="462" t="str">
        <f>names!A1659</f>
        <v>Spłaty kredytów</v>
      </c>
      <c r="C38" s="131">
        <v>-410</v>
      </c>
      <c r="D38" s="131">
        <v>-2</v>
      </c>
      <c r="E38" s="131">
        <v>-65</v>
      </c>
      <c r="F38" s="131">
        <v>-15</v>
      </c>
      <c r="G38" s="229">
        <v>-492</v>
      </c>
      <c r="H38" s="577"/>
    </row>
    <row r="39" spans="1:8" s="1" customFormat="1" ht="11.25">
      <c r="A39" s="62"/>
      <c r="B39" s="462" t="str">
        <f>names!A1660</f>
        <v>Wykup obligacji</v>
      </c>
      <c r="C39" s="131">
        <v>-1000</v>
      </c>
      <c r="D39" s="131">
        <v>0</v>
      </c>
      <c r="E39" s="131">
        <v>0</v>
      </c>
      <c r="F39" s="131">
        <v>0</v>
      </c>
      <c r="G39" s="229">
        <v>-1000</v>
      </c>
      <c r="H39" s="577"/>
    </row>
    <row r="40" spans="1:8" s="1" customFormat="1" ht="11.25">
      <c r="A40" s="62"/>
      <c r="B40" s="405" t="str">
        <f>names!A1661</f>
        <v xml:space="preserve">Odsetki zapłacone od kredytów i obligacji </v>
      </c>
      <c r="C40" s="131">
        <v>-29</v>
      </c>
      <c r="D40" s="131">
        <v>-153</v>
      </c>
      <c r="E40" s="131">
        <v>-14</v>
      </c>
      <c r="F40" s="131">
        <v>-22</v>
      </c>
      <c r="G40" s="229">
        <v>-218</v>
      </c>
      <c r="H40" s="577"/>
    </row>
    <row r="41" spans="1:8" s="1" customFormat="1" ht="11.25">
      <c r="A41" s="62"/>
      <c r="B41" s="405" t="str">
        <f>names!A1662</f>
        <v>Odsetki zapłacone z tytułu leasingu</v>
      </c>
      <c r="C41" s="131">
        <v>-15</v>
      </c>
      <c r="D41" s="131">
        <v>-20</v>
      </c>
      <c r="E41" s="131">
        <v>-16</v>
      </c>
      <c r="F41" s="131">
        <v>-17</v>
      </c>
      <c r="G41" s="229">
        <v>-68</v>
      </c>
      <c r="H41" s="577"/>
    </row>
    <row r="42" spans="1:8" s="1" customFormat="1" ht="11.25">
      <c r="A42" s="62"/>
      <c r="B42" s="405" t="str">
        <f>names!A1663</f>
        <v>Dywidendy wypłacone</v>
      </c>
      <c r="C42" s="131">
        <v>0</v>
      </c>
      <c r="D42" s="131">
        <v>0</v>
      </c>
      <c r="E42" s="131">
        <v>-1497</v>
      </c>
      <c r="F42" s="131">
        <v>0</v>
      </c>
      <c r="G42" s="229">
        <v>-1497</v>
      </c>
      <c r="H42" s="577"/>
    </row>
    <row r="43" spans="1:8" s="26" customFormat="1" ht="11.25">
      <c r="A43" s="453"/>
      <c r="B43" s="408" t="str">
        <f>names!A1664</f>
        <v>akcjonariuszom jednostki dominującej</v>
      </c>
      <c r="C43" s="132">
        <v>0</v>
      </c>
      <c r="D43" s="132">
        <v>0</v>
      </c>
      <c r="E43" s="132">
        <v>-1497</v>
      </c>
      <c r="F43" s="132">
        <v>0</v>
      </c>
      <c r="G43" s="231">
        <v>-1497</v>
      </c>
      <c r="H43" s="577"/>
    </row>
    <row r="44" spans="1:8" s="1" customFormat="1" ht="11.25">
      <c r="A44" s="62"/>
      <c r="B44" s="405" t="str">
        <f>names!A1665</f>
        <v>Płatności zobowiązań z tytułu umów leasingu</v>
      </c>
      <c r="C44" s="131">
        <v>-97</v>
      </c>
      <c r="D44" s="131">
        <v>-173</v>
      </c>
      <c r="E44" s="131">
        <v>-153</v>
      </c>
      <c r="F44" s="131">
        <v>-233</v>
      </c>
      <c r="G44" s="229">
        <v>-656</v>
      </c>
      <c r="H44" s="577"/>
    </row>
    <row r="45" spans="1:8" s="26" customFormat="1" ht="11.25">
      <c r="A45" s="453"/>
      <c r="B45" s="408" t="str">
        <f>names!A1666</f>
        <v>opłaty z tytułu leasingu krótkoterminowego i niskocennego</v>
      </c>
      <c r="C45" s="132">
        <v>-2</v>
      </c>
      <c r="D45" s="132">
        <v>-20</v>
      </c>
      <c r="E45" s="132">
        <v>-41</v>
      </c>
      <c r="F45" s="132">
        <v>-86</v>
      </c>
      <c r="G45" s="231">
        <v>-149</v>
      </c>
      <c r="H45" s="577"/>
    </row>
    <row r="46" spans="1:8" s="1" customFormat="1" ht="12" thickBot="1">
      <c r="A46" s="62"/>
      <c r="B46" s="405" t="str">
        <f>names!A1667</f>
        <v>Pozostałe</v>
      </c>
      <c r="C46" s="131">
        <v>-1</v>
      </c>
      <c r="D46" s="131">
        <v>0</v>
      </c>
      <c r="E46" s="131">
        <v>-1</v>
      </c>
      <c r="F46" s="131">
        <v>-1</v>
      </c>
      <c r="G46" s="229">
        <v>-3</v>
      </c>
      <c r="H46" s="577"/>
    </row>
    <row r="47" spans="1:8" s="1" customFormat="1" ht="12" thickBot="1">
      <c r="A47" s="62"/>
      <c r="B47" s="404" t="str">
        <f>names!A1668</f>
        <v>Środki pieniężne netto z/(wykorzystane w) działalności finansowej</v>
      </c>
      <c r="C47" s="134">
        <v>-1036</v>
      </c>
      <c r="D47" s="134">
        <v>-302</v>
      </c>
      <c r="E47" s="134">
        <v>-1739</v>
      </c>
      <c r="F47" s="134">
        <v>-286</v>
      </c>
      <c r="G47" s="185">
        <v>-3363</v>
      </c>
      <c r="H47" s="577"/>
    </row>
    <row r="48" spans="1:8" s="55" customFormat="1" ht="11.25">
      <c r="A48" s="64"/>
      <c r="B48" s="410"/>
      <c r="C48" s="136"/>
      <c r="D48" s="136"/>
      <c r="E48" s="136"/>
      <c r="F48" s="136">
        <v>0</v>
      </c>
      <c r="G48" s="233"/>
      <c r="H48" s="577"/>
    </row>
    <row r="49" spans="1:8" s="1" customFormat="1" ht="11.25">
      <c r="A49" s="62"/>
      <c r="B49" s="402" t="str">
        <f>names!A1670</f>
        <v>Zwiększenie/(Zmniejszenie) netto stanu środków pieniężnych i ich ekwiwalentów</v>
      </c>
      <c r="C49" s="130">
        <v>-511</v>
      </c>
      <c r="D49" s="130">
        <v>2517</v>
      </c>
      <c r="E49" s="130">
        <v>660</v>
      </c>
      <c r="F49" s="130">
        <v>-704</v>
      </c>
      <c r="G49" s="228">
        <v>1962</v>
      </c>
      <c r="H49" s="577"/>
    </row>
    <row r="50" spans="1:8" s="1" customFormat="1" ht="11.25">
      <c r="A50" s="123"/>
      <c r="B50" s="407" t="str">
        <f>names!A1671</f>
        <v>Zmiana stanu środków pieniężnych i ich ekwiwalentów z tytułu różnic kursowych</v>
      </c>
      <c r="C50" s="133">
        <v>-16</v>
      </c>
      <c r="D50" s="133">
        <v>-14</v>
      </c>
      <c r="E50" s="133">
        <v>-15</v>
      </c>
      <c r="F50" s="133">
        <v>50</v>
      </c>
      <c r="G50" s="230">
        <v>5</v>
      </c>
      <c r="H50" s="577"/>
    </row>
    <row r="51" spans="1:8" s="1" customFormat="1" ht="11.25">
      <c r="A51" s="123"/>
      <c r="B51" s="407" t="str">
        <f>names!A1672</f>
        <v>Środki pieniężne i ich ekwiwalenty na początek okresu</v>
      </c>
      <c r="C51" s="133">
        <v>4192</v>
      </c>
      <c r="D51" s="133">
        <v>3665</v>
      </c>
      <c r="E51" s="133">
        <v>6168</v>
      </c>
      <c r="F51" s="133">
        <v>6813</v>
      </c>
      <c r="G51" s="230">
        <v>4192</v>
      </c>
      <c r="H51" s="577"/>
    </row>
    <row r="52" spans="1:8" s="55" customFormat="1" ht="12" thickBot="1">
      <c r="A52" s="64"/>
      <c r="B52" s="411"/>
      <c r="C52" s="137"/>
      <c r="D52" s="137"/>
      <c r="E52" s="137"/>
      <c r="F52" s="137">
        <v>0</v>
      </c>
      <c r="G52" s="234"/>
      <c r="H52" s="577"/>
    </row>
    <row r="53" spans="1:8" s="1" customFormat="1" ht="12" thickBot="1">
      <c r="A53" s="62"/>
      <c r="B53" s="404" t="str">
        <f>names!A1674</f>
        <v>Środki pieniężne i ich ekwiwalenty na koniec okresu</v>
      </c>
      <c r="C53" s="134">
        <v>3665</v>
      </c>
      <c r="D53" s="134">
        <v>6168</v>
      </c>
      <c r="E53" s="134">
        <v>6813</v>
      </c>
      <c r="F53" s="134">
        <v>6159</v>
      </c>
      <c r="G53" s="185">
        <v>6159</v>
      </c>
      <c r="H53" s="577"/>
    </row>
    <row r="54" spans="1:8">
      <c r="A54" s="28"/>
      <c r="B54" s="468" t="str">
        <f>names!A1675</f>
        <v>w tym środki pieniężne o ograniczonej możliwości dysponowania</v>
      </c>
      <c r="C54" s="132">
        <v>82</v>
      </c>
      <c r="D54" s="132">
        <v>93</v>
      </c>
      <c r="E54" s="132">
        <v>63</v>
      </c>
      <c r="F54" s="132">
        <v>1086</v>
      </c>
      <c r="G54" s="132">
        <v>1086</v>
      </c>
      <c r="H54" s="577"/>
    </row>
    <row r="55" spans="1:8" ht="5.25" customHeight="1">
      <c r="A55" s="28"/>
      <c r="C55" s="183"/>
      <c r="D55" s="183"/>
      <c r="E55" s="183"/>
      <c r="F55" s="183"/>
      <c r="G55" s="183"/>
    </row>
    <row r="56" spans="1:8" ht="25.5" customHeight="1">
      <c r="A56" s="28"/>
      <c r="B56" s="1014"/>
      <c r="C56" s="1015"/>
      <c r="D56" s="1015"/>
      <c r="E56" s="21"/>
      <c r="F56" s="21"/>
      <c r="G56" s="21"/>
    </row>
    <row r="57" spans="1:8">
      <c r="A57" s="28"/>
      <c r="B57" s="577"/>
      <c r="C57" s="577"/>
      <c r="D57" s="577"/>
      <c r="E57" s="577"/>
      <c r="F57" s="577"/>
      <c r="G57" s="577"/>
    </row>
    <row r="58" spans="1:8">
      <c r="A58" s="28"/>
      <c r="B58" s="46"/>
      <c r="C58" s="23"/>
      <c r="D58" s="23"/>
      <c r="E58" s="23"/>
      <c r="F58" s="23"/>
      <c r="G58" s="23"/>
    </row>
    <row r="59" spans="1:8">
      <c r="A59" s="28"/>
      <c r="B59" s="46"/>
      <c r="C59" s="23"/>
      <c r="D59" s="23"/>
      <c r="E59" s="23"/>
      <c r="F59" s="23"/>
      <c r="G59" s="23"/>
    </row>
    <row r="60" spans="1:8">
      <c r="A60" s="28"/>
      <c r="B60" s="46"/>
      <c r="C60" s="23"/>
      <c r="D60" s="23"/>
      <c r="E60" s="23"/>
      <c r="F60" s="23"/>
      <c r="G60" s="23"/>
    </row>
    <row r="61" spans="1:8">
      <c r="A61" s="28"/>
      <c r="B61" s="46"/>
      <c r="C61" s="23"/>
      <c r="D61" s="23"/>
      <c r="E61" s="23"/>
      <c r="F61" s="23"/>
      <c r="G61" s="23"/>
    </row>
    <row r="62" spans="1:8">
      <c r="A62" s="28"/>
      <c r="B62" s="46"/>
      <c r="C62" s="23"/>
      <c r="D62" s="23"/>
      <c r="E62" s="23"/>
      <c r="F62" s="23"/>
      <c r="G62" s="23"/>
    </row>
    <row r="63" spans="1:8">
      <c r="A63" s="28"/>
      <c r="B63" s="46"/>
      <c r="C63" s="23"/>
      <c r="D63" s="23"/>
      <c r="E63" s="23"/>
      <c r="F63" s="23"/>
      <c r="G63" s="23"/>
    </row>
    <row r="64" spans="1:8">
      <c r="A64" s="28"/>
      <c r="B64" s="46"/>
      <c r="C64" s="23"/>
      <c r="D64" s="23"/>
      <c r="E64" s="23"/>
      <c r="F64" s="23"/>
      <c r="G64" s="23"/>
    </row>
    <row r="65" spans="1:7">
      <c r="A65" s="28"/>
      <c r="B65" s="46"/>
      <c r="C65" s="23"/>
      <c r="D65" s="23"/>
      <c r="E65" s="23"/>
      <c r="F65" s="23"/>
      <c r="G65" s="23"/>
    </row>
    <row r="66" spans="1:7">
      <c r="A66" s="28"/>
      <c r="B66" s="46"/>
    </row>
    <row r="67" spans="1:7">
      <c r="A67" s="28"/>
    </row>
    <row r="68" spans="1:7">
      <c r="A68" s="28"/>
    </row>
    <row r="69" spans="1:7">
      <c r="A69" s="28"/>
    </row>
    <row r="70" spans="1:7">
      <c r="A70" s="28"/>
    </row>
    <row r="71" spans="1:7">
      <c r="A71" s="28"/>
    </row>
    <row r="72" spans="1:7">
      <c r="A72" s="28"/>
    </row>
    <row r="73" spans="1:7">
      <c r="A73" s="28"/>
    </row>
    <row r="74" spans="1:7">
      <c r="A74" s="28"/>
    </row>
    <row r="75" spans="1:7">
      <c r="A75" s="28"/>
    </row>
    <row r="76" spans="1:7">
      <c r="A76" s="28"/>
    </row>
    <row r="77" spans="1:7">
      <c r="A77" s="28"/>
    </row>
    <row r="78" spans="1:7">
      <c r="A78" s="28"/>
    </row>
    <row r="79" spans="1:7">
      <c r="A79" s="28"/>
    </row>
    <row r="80" spans="1:7">
      <c r="A80" s="28"/>
    </row>
    <row r="81" spans="1:7" s="13" customFormat="1">
      <c r="A81" s="28"/>
      <c r="C81" s="10"/>
      <c r="D81" s="10"/>
      <c r="E81" s="10"/>
      <c r="F81" s="10"/>
      <c r="G81" s="10"/>
    </row>
    <row r="82" spans="1:7" s="13" customFormat="1">
      <c r="A82" s="28"/>
      <c r="C82" s="10"/>
      <c r="D82" s="10"/>
      <c r="E82" s="10"/>
      <c r="F82" s="10"/>
      <c r="G82" s="10"/>
    </row>
  </sheetData>
  <mergeCells count="1">
    <mergeCell ref="B56:D56"/>
  </mergeCells>
  <conditionalFormatting sqref="B57:G57">
    <cfRule type="cellIs" dxfId="23" priority="2" operator="equal">
      <formula>FALSE</formula>
    </cfRule>
  </conditionalFormatting>
  <conditionalFormatting sqref="H2:H54">
    <cfRule type="cellIs" dxfId="22"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1"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0.34998626667073579"/>
    <pageSetUpPr fitToPage="1"/>
  </sheetPr>
  <dimension ref="A2:I88"/>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Row="1" outlineLevelCol="1"/>
  <cols>
    <col min="1" max="1" width="1.28515625" customWidth="1"/>
    <col min="2" max="2" width="88.42578125" style="13" customWidth="1"/>
    <col min="3" max="6" width="8.5703125" style="10" hidden="1" customWidth="1" outlineLevel="1"/>
    <col min="7" max="7" width="9.28515625" style="727" customWidth="1" collapsed="1"/>
  </cols>
  <sheetData>
    <row r="2" spans="2:9" ht="15.75">
      <c r="B2" s="397" t="str">
        <f>names!A1677</f>
        <v>Skonsolidowane sprawozdanie z przepływów pieniężnych</v>
      </c>
      <c r="H2" s="577"/>
    </row>
    <row r="3" spans="2:9" ht="10.15" customHeight="1">
      <c r="H3" s="577"/>
    </row>
    <row r="4" spans="2:9" s="1" customFormat="1" ht="37.5" customHeight="1">
      <c r="B4" s="15" t="str">
        <f>names!A1679</f>
        <v>Wyszczególnienie, 
mln PLN</v>
      </c>
      <c r="C4" s="15" t="str">
        <f>names!$A612</f>
        <v>I kw.
2020</v>
      </c>
      <c r="D4" s="15" t="str">
        <f>names!$A613</f>
        <v>II kw.
2020*</v>
      </c>
      <c r="E4" s="15" t="str">
        <f>names!$A614</f>
        <v>III kw.
2020</v>
      </c>
      <c r="F4" s="15" t="str">
        <f>names!$A615</f>
        <v>IV kw.
2020</v>
      </c>
      <c r="G4" s="15" t="str">
        <f>names!$A616</f>
        <v>12 m-cy
2020</v>
      </c>
      <c r="H4" s="577"/>
    </row>
    <row r="5" spans="2:9" s="30" customFormat="1" ht="7.15" customHeight="1">
      <c r="B5" s="92"/>
      <c r="C5" s="92"/>
      <c r="D5" s="92"/>
      <c r="E5" s="92"/>
      <c r="F5" s="92"/>
      <c r="G5" s="728"/>
      <c r="H5" s="577"/>
    </row>
    <row r="6" spans="2:9" s="1" customFormat="1" ht="11.25">
      <c r="B6" s="406" t="str">
        <f>names!A1681</f>
        <v>Przepływy pieniężne z działalności operacyjnej</v>
      </c>
      <c r="C6" s="27"/>
      <c r="D6" s="27"/>
      <c r="E6" s="27"/>
      <c r="F6" s="27"/>
      <c r="G6" s="729"/>
      <c r="H6" s="577"/>
    </row>
    <row r="7" spans="2:9" s="1" customFormat="1" ht="11.25">
      <c r="B7" s="402" t="str">
        <f>names!A1682</f>
        <v>Zysk/(Strata) przed opodatkowaniem</v>
      </c>
      <c r="C7" s="130">
        <v>-2562</v>
      </c>
      <c r="D7" s="130">
        <v>4449</v>
      </c>
      <c r="E7" s="130">
        <v>822</v>
      </c>
      <c r="F7" s="130">
        <v>147</v>
      </c>
      <c r="G7" s="730">
        <v>2856</v>
      </c>
      <c r="H7" s="577"/>
    </row>
    <row r="8" spans="2:9" s="1" customFormat="1" ht="11.25">
      <c r="B8" s="46" t="str">
        <f>names!A1683</f>
        <v>Korekty o pozycje:</v>
      </c>
      <c r="C8" s="504"/>
      <c r="D8" s="504"/>
      <c r="E8" s="504"/>
      <c r="F8" s="504"/>
      <c r="G8" s="731"/>
      <c r="H8" s="577"/>
    </row>
    <row r="9" spans="2:9" s="1" customFormat="1" ht="11.25" customHeight="1">
      <c r="B9" s="405" t="str">
        <f>names!A1684</f>
        <v>Udział w wyniku finansowym jednostek wycenianych metodą praw własności</v>
      </c>
      <c r="C9" s="504">
        <v>-12</v>
      </c>
      <c r="D9" s="504">
        <v>-55</v>
      </c>
      <c r="E9" s="504">
        <v>-36</v>
      </c>
      <c r="F9" s="504">
        <v>-46</v>
      </c>
      <c r="G9" s="731">
        <v>-149</v>
      </c>
      <c r="H9" s="577"/>
    </row>
    <row r="10" spans="2:9" s="1" customFormat="1" ht="11.25">
      <c r="B10" s="405" t="str">
        <f>names!A1685</f>
        <v>Amortyzacja</v>
      </c>
      <c r="C10" s="504">
        <v>935</v>
      </c>
      <c r="D10" s="504">
        <v>1128</v>
      </c>
      <c r="E10" s="504">
        <v>1188</v>
      </c>
      <c r="F10" s="504">
        <v>1306</v>
      </c>
      <c r="G10" s="731">
        <v>4557</v>
      </c>
      <c r="H10" s="577"/>
      <c r="I10" s="467"/>
    </row>
    <row r="11" spans="2:9" s="1" customFormat="1" ht="11.25">
      <c r="B11" s="405" t="str">
        <f>names!A1686</f>
        <v>(Zysk)/Strata z tytułu różnic kursowych</v>
      </c>
      <c r="C11" s="504">
        <v>557</v>
      </c>
      <c r="D11" s="504">
        <v>-246</v>
      </c>
      <c r="E11" s="504">
        <v>196</v>
      </c>
      <c r="F11" s="504">
        <v>152</v>
      </c>
      <c r="G11" s="731">
        <v>659</v>
      </c>
      <c r="H11" s="577"/>
    </row>
    <row r="12" spans="2:9" s="1" customFormat="1" ht="11.25">
      <c r="B12" s="405" t="str">
        <f>names!A1687</f>
        <v>Odsetki netto</v>
      </c>
      <c r="C12" s="504">
        <v>35</v>
      </c>
      <c r="D12" s="504">
        <v>114</v>
      </c>
      <c r="E12" s="504">
        <v>135</v>
      </c>
      <c r="F12" s="504">
        <v>108</v>
      </c>
      <c r="G12" s="731">
        <v>392</v>
      </c>
      <c r="H12" s="577"/>
    </row>
    <row r="13" spans="2:9" s="1" customFormat="1" ht="11.25">
      <c r="B13" s="405" t="str">
        <f>names!A1688</f>
        <v>Dywidendy</v>
      </c>
      <c r="C13" s="504">
        <v>0</v>
      </c>
      <c r="D13" s="504">
        <v>-6</v>
      </c>
      <c r="E13" s="504">
        <v>0</v>
      </c>
      <c r="F13" s="504">
        <v>0</v>
      </c>
      <c r="G13" s="731">
        <v>-6</v>
      </c>
      <c r="H13" s="577"/>
    </row>
    <row r="14" spans="2:9" s="1" customFormat="1" ht="11.25">
      <c r="B14" s="405" t="str">
        <f>names!A1689</f>
        <v>(Zysk)/Strata na działalności inwestycyjnej, w tym:</v>
      </c>
      <c r="C14" s="504">
        <v>-600</v>
      </c>
      <c r="D14" s="504">
        <v>-3646</v>
      </c>
      <c r="E14" s="504">
        <v>76</v>
      </c>
      <c r="F14" s="504">
        <v>576</v>
      </c>
      <c r="G14" s="731">
        <v>-3594</v>
      </c>
      <c r="H14" s="577"/>
    </row>
    <row r="15" spans="2:9" s="26" customFormat="1" ht="22.5">
      <c r="B15" s="452" t="str">
        <f>names!A1690</f>
        <v>utworzenie/(odwrócenie) odpisów aktualizujących wartość rzeczowych aktywów trwałych, 
wartości niematerialnych i pozostałych składników majątku trwałego</v>
      </c>
      <c r="C15" s="505">
        <v>504</v>
      </c>
      <c r="D15" s="505">
        <v>146</v>
      </c>
      <c r="E15" s="505">
        <v>-8</v>
      </c>
      <c r="F15" s="505">
        <v>949</v>
      </c>
      <c r="G15" s="732">
        <v>1591</v>
      </c>
      <c r="H15" s="577"/>
      <c r="I15" s="1"/>
    </row>
    <row r="16" spans="2:9" s="26" customFormat="1" ht="11.25">
      <c r="B16" s="452" t="str">
        <f>names!A1691</f>
        <v>rozliczenie i wycena pochodnych instrumentów finansowych</v>
      </c>
      <c r="C16" s="505">
        <v>-1106</v>
      </c>
      <c r="D16" s="505">
        <v>273</v>
      </c>
      <c r="E16" s="505">
        <v>90</v>
      </c>
      <c r="F16" s="505">
        <v>-372</v>
      </c>
      <c r="G16" s="732">
        <v>-1115</v>
      </c>
      <c r="H16" s="577"/>
      <c r="I16" s="1"/>
    </row>
    <row r="17" spans="1:9" s="26" customFormat="1" ht="11.25">
      <c r="B17" s="452" t="str">
        <f>names!A1692</f>
        <v>(zysk) z tytułu okazyjnego nabycia Grupy ENERGA</v>
      </c>
      <c r="C17" s="505">
        <v>0</v>
      </c>
      <c r="D17" s="505">
        <v>-4062</v>
      </c>
      <c r="E17" s="505">
        <v>0</v>
      </c>
      <c r="F17" s="505">
        <v>0</v>
      </c>
      <c r="G17" s="732">
        <v>-4062</v>
      </c>
      <c r="H17" s="577"/>
      <c r="I17" s="1"/>
    </row>
    <row r="18" spans="1:9" s="1" customFormat="1" ht="11.25">
      <c r="A18" s="62"/>
      <c r="B18" s="405" t="str">
        <f>names!A1693</f>
        <v xml:space="preserve">Zmiana stanu rezerw </v>
      </c>
      <c r="C18" s="504">
        <v>318</v>
      </c>
      <c r="D18" s="504">
        <v>436</v>
      </c>
      <c r="E18" s="504">
        <v>496</v>
      </c>
      <c r="F18" s="504">
        <v>452</v>
      </c>
      <c r="G18" s="731">
        <v>1702</v>
      </c>
      <c r="H18" s="577"/>
    </row>
    <row r="19" spans="1:9" s="1" customFormat="1" ht="11.25">
      <c r="A19" s="62"/>
      <c r="B19" s="407" t="str">
        <f>names!A1694</f>
        <v>Zmiana stanu kapitału pracującego</v>
      </c>
      <c r="C19" s="506">
        <v>1408</v>
      </c>
      <c r="D19" s="506">
        <v>2312</v>
      </c>
      <c r="E19" s="506">
        <f>-585</f>
        <v>-585</v>
      </c>
      <c r="F19" s="506">
        <v>-926</v>
      </c>
      <c r="G19" s="733">
        <v>2209</v>
      </c>
      <c r="H19" s="577"/>
    </row>
    <row r="20" spans="1:9" s="26" customFormat="1" ht="11.25">
      <c r="A20" s="453"/>
      <c r="B20" s="408" t="str">
        <f>names!A1695</f>
        <v>zapasy, w tym:</v>
      </c>
      <c r="C20" s="505">
        <v>2984</v>
      </c>
      <c r="D20" s="505">
        <v>241</v>
      </c>
      <c r="E20" s="505">
        <v>-174</v>
      </c>
      <c r="F20" s="505">
        <v>93</v>
      </c>
      <c r="G20" s="732">
        <v>3144</v>
      </c>
      <c r="H20" s="577"/>
      <c r="I20" s="1"/>
    </row>
    <row r="21" spans="1:9" s="26" customFormat="1" ht="11.25">
      <c r="A21" s="453"/>
      <c r="B21" s="475" t="str">
        <f>names!A1696</f>
        <v>odpisy wartości zapasów do wartości netto możliwej do uzyskania</v>
      </c>
      <c r="C21" s="505">
        <v>2075</v>
      </c>
      <c r="D21" s="505">
        <v>-1560</v>
      </c>
      <c r="E21" s="505">
        <v>97</v>
      </c>
      <c r="F21" s="505">
        <v>-26</v>
      </c>
      <c r="G21" s="732">
        <v>586</v>
      </c>
      <c r="H21" s="577"/>
      <c r="I21" s="1"/>
    </row>
    <row r="22" spans="1:9" s="26" customFormat="1" ht="11.25">
      <c r="A22" s="453"/>
      <c r="B22" s="408" t="str">
        <f>names!A1697</f>
        <v>należności</v>
      </c>
      <c r="C22" s="505">
        <v>1478</v>
      </c>
      <c r="D22" s="505">
        <v>1135</v>
      </c>
      <c r="E22" s="505">
        <v>-973</v>
      </c>
      <c r="F22" s="505">
        <v>612</v>
      </c>
      <c r="G22" s="732">
        <v>2252</v>
      </c>
      <c r="H22" s="577"/>
      <c r="I22" s="1"/>
    </row>
    <row r="23" spans="1:9" s="26" customFormat="1" ht="11.25">
      <c r="A23" s="453"/>
      <c r="B23" s="408" t="str">
        <f>names!A1698</f>
        <v>zobowiązania</v>
      </c>
      <c r="C23" s="505">
        <v>-3054</v>
      </c>
      <c r="D23" s="505">
        <v>936</v>
      </c>
      <c r="E23" s="505">
        <v>562</v>
      </c>
      <c r="F23" s="505">
        <v>-1631</v>
      </c>
      <c r="G23" s="732">
        <v>-3187</v>
      </c>
      <c r="H23" s="577"/>
      <c r="I23" s="1"/>
    </row>
    <row r="24" spans="1:9" s="1" customFormat="1" ht="11.25">
      <c r="A24" s="62"/>
      <c r="B24" s="405" t="str">
        <f>names!A1699</f>
        <v>Pozostałe korekty, w tym:</v>
      </c>
      <c r="C24" s="504">
        <v>676</v>
      </c>
      <c r="D24" s="504">
        <v>-807</v>
      </c>
      <c r="E24" s="504">
        <f>-38-83</f>
        <v>-121</v>
      </c>
      <c r="F24" s="504">
        <v>-383</v>
      </c>
      <c r="G24" s="731">
        <v>-635</v>
      </c>
      <c r="H24" s="577"/>
      <c r="I24" s="467"/>
    </row>
    <row r="25" spans="1:9" s="26" customFormat="1" ht="11.25">
      <c r="A25" s="453"/>
      <c r="B25" s="408" t="str">
        <f>names!A1700</f>
        <v>rozliczenie dotacji na prawa majątkowe</v>
      </c>
      <c r="C25" s="505">
        <v>-179</v>
      </c>
      <c r="D25" s="505">
        <v>-169</v>
      </c>
      <c r="E25" s="505">
        <v>-190</v>
      </c>
      <c r="F25" s="505">
        <v>-211</v>
      </c>
      <c r="G25" s="732">
        <v>-749</v>
      </c>
      <c r="H25" s="577"/>
      <c r="I25" s="1"/>
    </row>
    <row r="26" spans="1:9" s="26" customFormat="1" ht="11.25">
      <c r="A26" s="453"/>
      <c r="B26" s="408" t="str">
        <f>names!A1701</f>
        <v>depozyty zabezpieczające</v>
      </c>
      <c r="C26" s="505">
        <v>481</v>
      </c>
      <c r="D26" s="505">
        <v>-364</v>
      </c>
      <c r="E26" s="505">
        <v>221</v>
      </c>
      <c r="F26" s="505">
        <v>-198</v>
      </c>
      <c r="G26" s="732">
        <v>140</v>
      </c>
      <c r="H26" s="577"/>
      <c r="I26" s="1"/>
    </row>
    <row r="27" spans="1:9" s="26" customFormat="1" ht="11.25">
      <c r="A27" s="453"/>
      <c r="B27" s="452" t="str">
        <f>names!A1702</f>
        <v>zmiana stanu rozrachunków z tytułu rozliczonych instrumentów zabezpieczających przepływy pieniężne</v>
      </c>
      <c r="C27" s="505">
        <v>188</v>
      </c>
      <c r="D27" s="505">
        <v>-161</v>
      </c>
      <c r="E27" s="505">
        <v>-37</v>
      </c>
      <c r="F27" s="505">
        <v>16</v>
      </c>
      <c r="G27" s="732">
        <v>6</v>
      </c>
      <c r="H27" s="577"/>
      <c r="I27" s="1"/>
    </row>
    <row r="28" spans="1:9" s="1" customFormat="1" ht="12" thickBot="1">
      <c r="A28" s="62"/>
      <c r="B28" s="46" t="str">
        <f>names!A1703</f>
        <v>Podatek dochodowy (zapłacony)</v>
      </c>
      <c r="C28" s="504">
        <v>-225</v>
      </c>
      <c r="D28" s="504">
        <v>-337</v>
      </c>
      <c r="E28" s="504">
        <v>-57</v>
      </c>
      <c r="F28" s="504">
        <v>-125</v>
      </c>
      <c r="G28" s="731">
        <v>-744</v>
      </c>
      <c r="H28" s="577"/>
    </row>
    <row r="29" spans="1:9" s="1" customFormat="1" ht="12" thickBot="1">
      <c r="A29" s="62"/>
      <c r="B29" s="404" t="str">
        <f>names!A1704</f>
        <v>Środki pieniężne netto z/(wykorzystane w) działalności operacyjnej</v>
      </c>
      <c r="C29" s="134">
        <f>C7+C9+C10+C11+C12+C13+C14+C18+C19+C24+C28</f>
        <v>530</v>
      </c>
      <c r="D29" s="134">
        <f>D7+D9+D10+D11+D12+D13+D14+D18+D19+D24+D28</f>
        <v>3342</v>
      </c>
      <c r="E29" s="134">
        <f>E7+E9+E10+E11+E12+E13+E14+E18+E19+E24+E28</f>
        <v>2114</v>
      </c>
      <c r="F29" s="134">
        <f>F7+F9+F10+F11+F12+F13+F14+F18+F19+F24+F28</f>
        <v>1261</v>
      </c>
      <c r="G29" s="734">
        <v>7247</v>
      </c>
      <c r="H29" s="577"/>
    </row>
    <row r="30" spans="1:9" s="1" customFormat="1" ht="11.25">
      <c r="A30" s="62"/>
      <c r="B30" s="406" t="str">
        <f>names!A1705</f>
        <v>Przepływy pieniężne z działalności inwestycyjnej</v>
      </c>
      <c r="C30" s="504"/>
      <c r="D30" s="504"/>
      <c r="E30" s="504"/>
      <c r="F30" s="504"/>
      <c r="G30" s="731"/>
      <c r="H30" s="577"/>
    </row>
    <row r="31" spans="1:9" s="1" customFormat="1" ht="22.5">
      <c r="A31" s="62"/>
      <c r="B31" s="500" t="str">
        <f>names!A1706</f>
        <v>Nabycie składników rzeczowego majątku trwałego, 
wartości niematerialnych i aktywów z tytułu praw do użytkowania</v>
      </c>
      <c r="C31" s="504">
        <v>-1233</v>
      </c>
      <c r="D31" s="504">
        <v>-1988</v>
      </c>
      <c r="E31" s="504">
        <v>-1988</v>
      </c>
      <c r="F31" s="504">
        <v>-2364</v>
      </c>
      <c r="G31" s="731">
        <v>-7573</v>
      </c>
      <c r="H31" s="577"/>
    </row>
    <row r="32" spans="1:9" s="1" customFormat="1" ht="11.25">
      <c r="A32" s="62"/>
      <c r="B32" s="500" t="str">
        <f>names!A1707</f>
        <v>Nabycie akcji/udziałów pomniejszone o środki pieniężne, w tym:</v>
      </c>
      <c r="C32" s="504">
        <v>0</v>
      </c>
      <c r="D32" s="504">
        <v>-1609</v>
      </c>
      <c r="E32" s="504">
        <v>0</v>
      </c>
      <c r="F32" s="504">
        <v>-391</v>
      </c>
      <c r="G32" s="731">
        <v>-2000</v>
      </c>
      <c r="H32" s="577"/>
    </row>
    <row r="33" spans="1:8" s="1" customFormat="1" ht="11.25">
      <c r="A33" s="62"/>
      <c r="B33" s="501" t="str">
        <f>names!A1708</f>
        <v>nabycie Grupy ENERGA</v>
      </c>
      <c r="C33" s="504">
        <v>0</v>
      </c>
      <c r="D33" s="504">
        <v>-1609</v>
      </c>
      <c r="E33" s="504">
        <v>0</v>
      </c>
      <c r="F33" s="504">
        <v>-377</v>
      </c>
      <c r="G33" s="732">
        <v>-1986</v>
      </c>
      <c r="H33" s="577"/>
    </row>
    <row r="34" spans="1:8" s="1" customFormat="1" ht="22.5">
      <c r="A34" s="62"/>
      <c r="B34" s="500" t="str">
        <f>names!A1709</f>
        <v>Sprzedaż składników rzeczowego majątku trwałego, 
wartości niematerialnych i aktywów z tytułu praw do użytkowania</v>
      </c>
      <c r="C34" s="504">
        <v>22</v>
      </c>
      <c r="D34" s="504">
        <v>19</v>
      </c>
      <c r="E34" s="504">
        <v>19</v>
      </c>
      <c r="F34" s="504">
        <v>10</v>
      </c>
      <c r="G34" s="731">
        <v>70</v>
      </c>
      <c r="H34" s="577"/>
    </row>
    <row r="35" spans="1:8" s="1" customFormat="1" ht="11.25">
      <c r="A35" s="62"/>
      <c r="B35" s="500" t="str">
        <f>names!A1710</f>
        <v>Lokaty krótkoterminowe</v>
      </c>
      <c r="C35" s="504">
        <v>-108</v>
      </c>
      <c r="D35" s="504">
        <v>33</v>
      </c>
      <c r="E35" s="504">
        <v>-62</v>
      </c>
      <c r="F35" s="504">
        <v>66</v>
      </c>
      <c r="G35" s="731">
        <v>-71</v>
      </c>
      <c r="H35" s="577"/>
    </row>
    <row r="36" spans="1:8" s="1" customFormat="1" ht="11.25">
      <c r="A36" s="62"/>
      <c r="B36" s="500" t="str">
        <f>names!A1711</f>
        <v>Dywidendy otrzymane</v>
      </c>
      <c r="C36" s="504">
        <v>0</v>
      </c>
      <c r="D36" s="504">
        <v>40</v>
      </c>
      <c r="E36" s="504">
        <f>35+2</f>
        <v>37</v>
      </c>
      <c r="F36" s="504">
        <v>67</v>
      </c>
      <c r="G36" s="731">
        <v>144</v>
      </c>
      <c r="H36" s="577"/>
    </row>
    <row r="37" spans="1:8" s="1" customFormat="1" ht="11.25">
      <c r="A37" s="62"/>
      <c r="B37" s="500" t="str">
        <f>names!A1712</f>
        <v>Wypływy z tytułu udzielonych pożyczek</v>
      </c>
      <c r="C37" s="504">
        <v>0</v>
      </c>
      <c r="D37" s="504">
        <v>-34</v>
      </c>
      <c r="E37" s="504">
        <v>0</v>
      </c>
      <c r="F37" s="504">
        <v>170</v>
      </c>
      <c r="G37" s="731">
        <v>136</v>
      </c>
      <c r="H37" s="577"/>
    </row>
    <row r="38" spans="1:8" s="1" customFormat="1" ht="11.25">
      <c r="A38" s="62"/>
      <c r="B38" s="502" t="str">
        <f>names!A1713</f>
        <v>Rozliczenie instrumentów pochodnych niewyznaczonych dla celów rachunkowości zabezpieczeń</v>
      </c>
      <c r="C38" s="504">
        <v>-199</v>
      </c>
      <c r="D38" s="504">
        <v>983</v>
      </c>
      <c r="E38" s="504">
        <v>-347</v>
      </c>
      <c r="F38" s="504">
        <v>313</v>
      </c>
      <c r="G38" s="731">
        <v>750</v>
      </c>
      <c r="H38" s="577"/>
    </row>
    <row r="39" spans="1:8" s="1" customFormat="1" ht="12" thickBot="1">
      <c r="A39" s="62"/>
      <c r="B39" s="502" t="str">
        <f>names!A1714</f>
        <v>Pozostałe</v>
      </c>
      <c r="C39" s="504">
        <v>-9</v>
      </c>
      <c r="D39" s="504">
        <v>-13</v>
      </c>
      <c r="E39" s="504">
        <f>17-2</f>
        <v>15</v>
      </c>
      <c r="F39" s="504">
        <v>56</v>
      </c>
      <c r="G39" s="731">
        <v>49</v>
      </c>
      <c r="H39" s="577"/>
    </row>
    <row r="40" spans="1:8" s="1" customFormat="1" ht="12" customHeight="1" thickBot="1">
      <c r="A40" s="62"/>
      <c r="B40" s="404" t="str">
        <f>names!A1715</f>
        <v>Środki pieniężne netto z/(wykorzystane w) działalności inwestycyjnej</v>
      </c>
      <c r="C40" s="134">
        <v>-1527</v>
      </c>
      <c r="D40" s="134">
        <v>-2569</v>
      </c>
      <c r="E40" s="134">
        <v>-2326</v>
      </c>
      <c r="F40" s="134">
        <v>-2073</v>
      </c>
      <c r="G40" s="734">
        <v>-8495</v>
      </c>
      <c r="H40" s="577"/>
    </row>
    <row r="41" spans="1:8" s="1" customFormat="1" ht="11.25">
      <c r="A41" s="62"/>
      <c r="B41" s="406" t="str">
        <f>names!A1716</f>
        <v>Przepływy pieniężne z działalności finansowej</v>
      </c>
      <c r="C41" s="135"/>
      <c r="D41" s="135"/>
      <c r="E41" s="135"/>
      <c r="F41" s="135"/>
      <c r="G41" s="735"/>
      <c r="H41" s="577"/>
    </row>
    <row r="42" spans="1:8" s="1" customFormat="1" ht="11.25" hidden="1" outlineLevel="1">
      <c r="A42" s="62"/>
      <c r="B42" s="502" t="str">
        <f>names!A1717</f>
        <v>Zmiana środków pieniężnych związana z wykupem akcjonariuszy niekontrolujących UNIPETROL, a.s.</v>
      </c>
      <c r="C42" s="504">
        <v>0</v>
      </c>
      <c r="D42" s="504">
        <v>0</v>
      </c>
      <c r="E42" s="504">
        <v>0</v>
      </c>
      <c r="F42" s="504">
        <v>0</v>
      </c>
      <c r="G42" s="731">
        <v>0</v>
      </c>
      <c r="H42" s="577"/>
    </row>
    <row r="43" spans="1:8" s="1" customFormat="1" ht="11.25" collapsed="1">
      <c r="A43" s="62"/>
      <c r="B43" s="502" t="str">
        <f>names!A1718</f>
        <v>Wpływy z otrzymanych kredytów i pożyczek</v>
      </c>
      <c r="C43" s="504">
        <v>126</v>
      </c>
      <c r="D43" s="504">
        <v>2192</v>
      </c>
      <c r="E43" s="504">
        <f>1280-105</f>
        <v>1175</v>
      </c>
      <c r="F43" s="504">
        <v>2435</v>
      </c>
      <c r="G43" s="731">
        <v>5928</v>
      </c>
      <c r="H43" s="577"/>
    </row>
    <row r="44" spans="1:8" s="1" customFormat="1" ht="11.25">
      <c r="A44" s="62"/>
      <c r="B44" s="502" t="str">
        <f>names!A1719</f>
        <v>Emisja obligacji</v>
      </c>
      <c r="C44" s="504">
        <v>0</v>
      </c>
      <c r="D44" s="504">
        <v>0</v>
      </c>
      <c r="E44" s="504">
        <v>0</v>
      </c>
      <c r="F44" s="504">
        <v>1000</v>
      </c>
      <c r="G44" s="731">
        <v>1000</v>
      </c>
      <c r="H44" s="577"/>
    </row>
    <row r="45" spans="1:8" s="1" customFormat="1" ht="11.25">
      <c r="A45" s="62"/>
      <c r="B45" s="503" t="str">
        <f>names!A1720</f>
        <v>Spłaty kredytów i pożyczek</v>
      </c>
      <c r="C45" s="504">
        <v>-2</v>
      </c>
      <c r="D45" s="504">
        <v>-4401</v>
      </c>
      <c r="E45" s="504">
        <f>-2437+105</f>
        <v>-2332</v>
      </c>
      <c r="F45" s="504">
        <v>-2299</v>
      </c>
      <c r="G45" s="731">
        <v>-9034</v>
      </c>
      <c r="H45" s="577"/>
    </row>
    <row r="46" spans="1:8" s="1" customFormat="1" ht="11.25">
      <c r="A46" s="62"/>
      <c r="B46" s="503" t="str">
        <f>names!A1721</f>
        <v>Wykup obligacji</v>
      </c>
      <c r="C46" s="504">
        <v>0</v>
      </c>
      <c r="D46" s="504">
        <v>-100</v>
      </c>
      <c r="E46" s="504">
        <v>0</v>
      </c>
      <c r="F46" s="504">
        <v>0</v>
      </c>
      <c r="G46" s="731">
        <v>-100</v>
      </c>
      <c r="H46" s="577"/>
    </row>
    <row r="47" spans="1:8" s="1" customFormat="1" ht="11.25">
      <c r="A47" s="62"/>
      <c r="B47" s="502" t="str">
        <f>names!A1722</f>
        <v xml:space="preserve">Odsetki zapłacone od kredytów i obligacji </v>
      </c>
      <c r="C47" s="504">
        <v>-14</v>
      </c>
      <c r="D47" s="504">
        <v>-167</v>
      </c>
      <c r="E47" s="504">
        <v>-102</v>
      </c>
      <c r="F47" s="504">
        <v>-14</v>
      </c>
      <c r="G47" s="731">
        <v>-297</v>
      </c>
      <c r="H47" s="577"/>
    </row>
    <row r="48" spans="1:8" s="1" customFormat="1" ht="11.25">
      <c r="A48" s="62"/>
      <c r="B48" s="502" t="str">
        <f>names!A1723</f>
        <v>Odsetki zapłacone z tytułu leasingu</v>
      </c>
      <c r="C48" s="504">
        <v>-52</v>
      </c>
      <c r="D48" s="504">
        <v>-20</v>
      </c>
      <c r="E48" s="504">
        <v>-19</v>
      </c>
      <c r="F48" s="504">
        <v>-20</v>
      </c>
      <c r="G48" s="731">
        <v>-111</v>
      </c>
      <c r="H48" s="577"/>
    </row>
    <row r="49" spans="1:9" s="1" customFormat="1" ht="11.25">
      <c r="A49" s="62"/>
      <c r="B49" s="405" t="str">
        <f>names!A1724</f>
        <v>Dywidendy wypłacone</v>
      </c>
      <c r="C49" s="504">
        <v>0</v>
      </c>
      <c r="D49" s="504">
        <v>-2</v>
      </c>
      <c r="E49" s="504">
        <f>-428+2</f>
        <v>-426</v>
      </c>
      <c r="F49" s="504">
        <v>0</v>
      </c>
      <c r="G49" s="732">
        <v>-428</v>
      </c>
      <c r="H49" s="577"/>
    </row>
    <row r="50" spans="1:9" s="26" customFormat="1" ht="11.25">
      <c r="A50" s="453"/>
      <c r="B50" s="408" t="str">
        <f>names!A1725</f>
        <v xml:space="preserve">akcjonariuszom jednostki dominujacej </v>
      </c>
      <c r="C50" s="505">
        <v>0</v>
      </c>
      <c r="D50" s="505">
        <v>0</v>
      </c>
      <c r="E50" s="505">
        <v>-428</v>
      </c>
      <c r="F50" s="505">
        <v>0</v>
      </c>
      <c r="G50" s="732">
        <v>-428</v>
      </c>
      <c r="H50" s="577"/>
      <c r="I50" s="1"/>
    </row>
    <row r="51" spans="1:9" s="1" customFormat="1" ht="11.25">
      <c r="A51" s="62"/>
      <c r="B51" s="405" t="str">
        <f>names!A1726</f>
        <v>Płatności zobowiązań z tytułu umów leasingu</v>
      </c>
      <c r="C51" s="504">
        <v>-193</v>
      </c>
      <c r="D51" s="504">
        <v>-188</v>
      </c>
      <c r="E51" s="504">
        <f>-191+85</f>
        <v>-106</v>
      </c>
      <c r="F51" s="504">
        <v>-188</v>
      </c>
      <c r="G51" s="731">
        <v>-675</v>
      </c>
      <c r="H51" s="577"/>
    </row>
    <row r="52" spans="1:9" s="1" customFormat="1" ht="12" thickBot="1">
      <c r="A52" s="62"/>
      <c r="B52" s="405" t="str">
        <f>names!A1727</f>
        <v>Pozostałe</v>
      </c>
      <c r="C52" s="504">
        <v>0</v>
      </c>
      <c r="D52" s="504">
        <v>9</v>
      </c>
      <c r="E52" s="504">
        <f>5-2</f>
        <v>3</v>
      </c>
      <c r="F52" s="504">
        <v>-6</v>
      </c>
      <c r="G52" s="731">
        <v>6</v>
      </c>
      <c r="H52" s="577"/>
    </row>
    <row r="53" spans="1:9" s="1" customFormat="1" ht="12" thickBot="1">
      <c r="A53" s="62"/>
      <c r="B53" s="404" t="str">
        <f>names!A1728</f>
        <v>Środki pieniężne netto z/(wykorzystane w) działalności finansowej</v>
      </c>
      <c r="C53" s="134">
        <v>-135</v>
      </c>
      <c r="D53" s="134">
        <v>-2677</v>
      </c>
      <c r="E53" s="134">
        <f>-1892+85</f>
        <v>-1807</v>
      </c>
      <c r="F53" s="134">
        <v>908</v>
      </c>
      <c r="G53" s="734">
        <v>-3711</v>
      </c>
      <c r="H53" s="577"/>
    </row>
    <row r="54" spans="1:9" s="55" customFormat="1" ht="11.25">
      <c r="A54" s="64"/>
      <c r="B54" s="410"/>
      <c r="C54" s="507"/>
      <c r="D54" s="507"/>
      <c r="E54" s="507"/>
      <c r="F54" s="507"/>
      <c r="G54" s="736"/>
      <c r="H54" s="577"/>
      <c r="I54" s="1"/>
    </row>
    <row r="55" spans="1:9" s="1" customFormat="1" ht="11.25">
      <c r="A55" s="62"/>
      <c r="B55" s="402" t="str">
        <f>names!A1730</f>
        <v>Zwiększenie/(Zmniejszenie) netto stanu środków pieniężnych i ich ekwiwalentów</v>
      </c>
      <c r="C55" s="130">
        <v>-1132</v>
      </c>
      <c r="D55" s="130">
        <v>-1904</v>
      </c>
      <c r="E55" s="130">
        <v>-2019</v>
      </c>
      <c r="F55" s="130">
        <v>96</v>
      </c>
      <c r="G55" s="730">
        <v>-4959</v>
      </c>
      <c r="H55" s="577"/>
    </row>
    <row r="56" spans="1:9" s="1" customFormat="1" ht="11.25">
      <c r="A56" s="123"/>
      <c r="B56" s="407" t="str">
        <f>names!A1731</f>
        <v>Zmiana stanu środków pieniężnych i ich ekwiwalentów z tytułu różnic kursowych</v>
      </c>
      <c r="C56" s="506">
        <v>77</v>
      </c>
      <c r="D56" s="506">
        <v>-31</v>
      </c>
      <c r="E56" s="506">
        <v>-39</v>
      </c>
      <c r="F56" s="506">
        <v>33</v>
      </c>
      <c r="G56" s="733">
        <v>40</v>
      </c>
      <c r="H56" s="577"/>
    </row>
    <row r="57" spans="1:9" s="1" customFormat="1" ht="11.25">
      <c r="A57" s="123"/>
      <c r="B57" s="407" t="str">
        <f>names!A1732</f>
        <v>Środki pieniężne i ich ekwiwalenty na początek okresu</v>
      </c>
      <c r="C57" s="506">
        <v>6159</v>
      </c>
      <c r="D57" s="506">
        <v>5104</v>
      </c>
      <c r="E57" s="506">
        <v>3169</v>
      </c>
      <c r="F57" s="506">
        <v>1111</v>
      </c>
      <c r="G57" s="733">
        <v>6159</v>
      </c>
      <c r="H57" s="577"/>
    </row>
    <row r="58" spans="1:9" s="55" customFormat="1" ht="12" thickBot="1">
      <c r="A58" s="64"/>
      <c r="B58" s="411"/>
      <c r="C58" s="508"/>
      <c r="D58" s="508"/>
      <c r="E58" s="508"/>
      <c r="F58" s="508"/>
      <c r="G58" s="737"/>
      <c r="H58" s="577"/>
      <c r="I58" s="1"/>
    </row>
    <row r="59" spans="1:9" s="1" customFormat="1" ht="12" thickBot="1">
      <c r="A59" s="62"/>
      <c r="B59" s="404" t="str">
        <f>names!A1734</f>
        <v>Środki pieniężne i ich ekwiwalenty na koniec okresu</v>
      </c>
      <c r="C59" s="134">
        <v>5104</v>
      </c>
      <c r="D59" s="134">
        <v>3169</v>
      </c>
      <c r="E59" s="134">
        <v>1111</v>
      </c>
      <c r="F59" s="134">
        <v>1240</v>
      </c>
      <c r="G59" s="734">
        <v>1240</v>
      </c>
      <c r="H59" s="577"/>
    </row>
    <row r="60" spans="1:9" ht="12" customHeight="1">
      <c r="A60" s="28"/>
      <c r="B60" s="468" t="str">
        <f>names!A1735</f>
        <v>w tym środki pieniężne o ograniczonej możliwości dysponowania</v>
      </c>
      <c r="C60" s="505">
        <v>1089</v>
      </c>
      <c r="D60" s="505">
        <v>219</v>
      </c>
      <c r="E60" s="505">
        <v>188</v>
      </c>
      <c r="F60" s="505">
        <v>217</v>
      </c>
      <c r="G60" s="738">
        <v>217</v>
      </c>
      <c r="H60" s="577"/>
      <c r="I60" s="1"/>
    </row>
    <row r="61" spans="1:9" ht="5.25" customHeight="1">
      <c r="A61" s="28"/>
      <c r="C61" s="183"/>
      <c r="D61" s="183"/>
      <c r="E61" s="183"/>
      <c r="F61" s="183"/>
      <c r="G61" s="739"/>
      <c r="H61" s="577"/>
    </row>
    <row r="62" spans="1:9" ht="16.5" customHeight="1">
      <c r="A62" s="28"/>
      <c r="B62" s="474" t="str">
        <f>names!A1737</f>
        <v>*) Dane przekształcone.</v>
      </c>
      <c r="C62"/>
      <c r="D62"/>
      <c r="E62" s="21"/>
      <c r="F62" s="21"/>
      <c r="G62" s="740"/>
      <c r="H62" s="577"/>
    </row>
    <row r="63" spans="1:9">
      <c r="A63" s="28"/>
      <c r="C63" s="21"/>
      <c r="D63" s="21"/>
      <c r="E63" s="21"/>
      <c r="F63" s="21"/>
      <c r="G63" s="740"/>
    </row>
    <row r="64" spans="1:9">
      <c r="A64" s="28"/>
      <c r="B64" s="577"/>
      <c r="C64" s="577"/>
      <c r="D64" s="577"/>
      <c r="E64" s="577"/>
      <c r="F64" s="577"/>
      <c r="G64" s="741"/>
    </row>
    <row r="65" spans="1:7">
      <c r="A65" s="28"/>
      <c r="B65" s="46"/>
      <c r="C65" s="23"/>
      <c r="D65" s="23"/>
      <c r="E65" s="23"/>
      <c r="F65" s="23"/>
      <c r="G65" s="741"/>
    </row>
    <row r="66" spans="1:7">
      <c r="A66" s="28"/>
      <c r="B66" s="46"/>
      <c r="C66" s="23"/>
      <c r="D66" s="23"/>
      <c r="E66" s="23"/>
      <c r="F66" s="23"/>
      <c r="G66" s="741"/>
    </row>
    <row r="67" spans="1:7">
      <c r="A67" s="28"/>
      <c r="B67" s="46"/>
      <c r="C67" s="23"/>
      <c r="D67" s="23"/>
      <c r="E67" s="23"/>
      <c r="F67" s="23"/>
      <c r="G67" s="741"/>
    </row>
    <row r="68" spans="1:7">
      <c r="A68" s="28"/>
      <c r="B68" s="46"/>
      <c r="C68" s="23"/>
      <c r="D68" s="23"/>
      <c r="E68" s="23"/>
      <c r="F68" s="23"/>
      <c r="G68" s="741"/>
    </row>
    <row r="69" spans="1:7">
      <c r="A69" s="28"/>
      <c r="B69" s="46"/>
      <c r="C69" s="23"/>
      <c r="D69" s="23"/>
      <c r="E69" s="23"/>
      <c r="F69" s="23"/>
      <c r="G69" s="741"/>
    </row>
    <row r="70" spans="1:7">
      <c r="A70" s="28"/>
      <c r="B70" s="46"/>
      <c r="C70" s="23"/>
      <c r="D70" s="23"/>
      <c r="E70" s="23"/>
      <c r="F70" s="23"/>
      <c r="G70" s="741"/>
    </row>
    <row r="71" spans="1:7">
      <c r="A71" s="28"/>
      <c r="B71" s="46"/>
      <c r="C71" s="23"/>
      <c r="D71" s="23"/>
      <c r="E71" s="23"/>
      <c r="F71" s="23"/>
      <c r="G71" s="741"/>
    </row>
    <row r="72" spans="1:7">
      <c r="A72" s="28"/>
      <c r="B72" s="46"/>
    </row>
    <row r="73" spans="1:7">
      <c r="A73" s="28"/>
    </row>
    <row r="74" spans="1:7">
      <c r="A74" s="28"/>
    </row>
    <row r="75" spans="1:7">
      <c r="A75" s="28"/>
    </row>
    <row r="76" spans="1:7">
      <c r="A76" s="28"/>
    </row>
    <row r="77" spans="1:7">
      <c r="A77" s="28"/>
    </row>
    <row r="78" spans="1:7">
      <c r="A78" s="28"/>
    </row>
    <row r="79" spans="1:7">
      <c r="A79" s="28"/>
    </row>
    <row r="80" spans="1:7">
      <c r="A80" s="28"/>
    </row>
    <row r="81" spans="1:7">
      <c r="A81" s="28"/>
    </row>
    <row r="82" spans="1:7">
      <c r="A82" s="28"/>
    </row>
    <row r="83" spans="1:7">
      <c r="A83" s="28"/>
    </row>
    <row r="84" spans="1:7">
      <c r="A84" s="28"/>
    </row>
    <row r="85" spans="1:7">
      <c r="A85" s="28"/>
    </row>
    <row r="86" spans="1:7">
      <c r="A86" s="28"/>
    </row>
    <row r="87" spans="1:7" s="13" customFormat="1">
      <c r="A87" s="28"/>
      <c r="C87" s="10"/>
      <c r="D87" s="10"/>
      <c r="E87" s="10"/>
      <c r="F87" s="10"/>
      <c r="G87" s="727"/>
    </row>
    <row r="88" spans="1:7" s="13" customFormat="1">
      <c r="A88" s="28"/>
      <c r="C88" s="10"/>
      <c r="D88" s="10"/>
      <c r="E88" s="10"/>
      <c r="F88" s="10"/>
      <c r="G88" s="727"/>
    </row>
  </sheetData>
  <conditionalFormatting sqref="B64:G64">
    <cfRule type="cellIs" dxfId="21" priority="2" operator="equal">
      <formula>FALSE</formula>
    </cfRule>
  </conditionalFormatting>
  <conditionalFormatting sqref="H2:H62">
    <cfRule type="cellIs" dxfId="20"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tabColor rgb="FFFF0000"/>
    <pageSetUpPr fitToPage="1"/>
  </sheetPr>
  <dimension ref="B2:O51"/>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cols>
    <col min="1" max="1" width="1.28515625" customWidth="1"/>
    <col min="2" max="2" width="50" customWidth="1"/>
    <col min="4" max="7" width="9.42578125" customWidth="1"/>
    <col min="9" max="12" width="9.42578125" customWidth="1"/>
  </cols>
  <sheetData>
    <row r="2" spans="2:13" ht="15.75">
      <c r="B2" s="719" t="str">
        <f>names!A2139</f>
        <v>Parametry makroekonomiczne</v>
      </c>
      <c r="M2" s="526"/>
    </row>
    <row r="3" spans="2:13" ht="10.15" customHeight="1">
      <c r="B3" s="5"/>
      <c r="M3" s="526"/>
    </row>
    <row r="4" spans="2:13" ht="34.5" customHeight="1">
      <c r="B4" s="15" t="str">
        <f>names!A74</f>
        <v>Wyszczególnienie</v>
      </c>
      <c r="C4" s="15" t="str">
        <f>names!$A169</f>
        <v>I kw. 
2024</v>
      </c>
      <c r="D4" s="15" t="str">
        <f>names!$A170</f>
        <v>II kw. 
2024</v>
      </c>
      <c r="E4" s="15" t="str">
        <f>names!$A171</f>
        <v>III kw. 
2024</v>
      </c>
      <c r="F4" s="15" t="str">
        <f>names!$A172</f>
        <v>IV kw. 
2024</v>
      </c>
      <c r="G4" s="15" t="str">
        <f>names!$A173</f>
        <v>12 m-cy 2024</v>
      </c>
      <c r="H4" s="15" t="str">
        <f>names!$A174</f>
        <v>I kw. 
2025</v>
      </c>
      <c r="I4" s="15" t="str">
        <f>names!$A175</f>
        <v>II kw. 
2025</v>
      </c>
      <c r="J4" s="15" t="str">
        <f>names!$A176</f>
        <v>III kw. 
2025</v>
      </c>
      <c r="K4" s="15" t="str">
        <f>names!$A177</f>
        <v>IV kw. 
2025</v>
      </c>
      <c r="L4" s="15" t="str">
        <f>names!$A178</f>
        <v>12 m-cy 2025</v>
      </c>
      <c r="M4" s="526"/>
    </row>
    <row r="5" spans="2:13" s="29" customFormat="1" ht="7.15" customHeight="1">
      <c r="B5" s="116"/>
      <c r="C5" s="117"/>
      <c r="D5" s="117"/>
      <c r="E5" s="117"/>
      <c r="F5" s="117"/>
      <c r="G5" s="117"/>
      <c r="H5" s="117"/>
      <c r="I5" s="117"/>
      <c r="J5" s="117"/>
      <c r="K5" s="117"/>
      <c r="L5" s="117"/>
      <c r="M5" s="526"/>
    </row>
    <row r="6" spans="2:13" s="5" customFormat="1" ht="13.5" customHeight="1">
      <c r="B6" s="122" t="str">
        <f>names!A2140</f>
        <v>Cena gazu ziemnego TGEgasDA (PLN/MWh)</v>
      </c>
      <c r="C6" s="837">
        <v>142</v>
      </c>
      <c r="D6" s="837">
        <v>152</v>
      </c>
      <c r="E6" s="840">
        <v>172</v>
      </c>
      <c r="F6" s="840">
        <v>212</v>
      </c>
      <c r="G6" s="841">
        <v>170</v>
      </c>
      <c r="H6" s="837">
        <v>219</v>
      </c>
      <c r="I6" s="837">
        <v>169</v>
      </c>
      <c r="J6" s="837">
        <v>157</v>
      </c>
      <c r="K6" s="840">
        <v>159</v>
      </c>
      <c r="L6" s="841">
        <v>176</v>
      </c>
      <c r="M6" s="526"/>
    </row>
    <row r="7" spans="2:13" s="5" customFormat="1" ht="13.5" customHeight="1">
      <c r="B7" s="115" t="str">
        <f>names!A2141</f>
        <v>Cena gazu ziemnego TTF month-ahead (PLN/MWh)</v>
      </c>
      <c r="C7" s="838">
        <v>119</v>
      </c>
      <c r="D7" s="838">
        <v>137</v>
      </c>
      <c r="E7" s="842">
        <v>153</v>
      </c>
      <c r="F7" s="842">
        <v>186</v>
      </c>
      <c r="G7" s="843">
        <v>149</v>
      </c>
      <c r="H7" s="838">
        <v>196</v>
      </c>
      <c r="I7" s="838">
        <v>152</v>
      </c>
      <c r="J7" s="838">
        <v>141</v>
      </c>
      <c r="K7" s="842">
        <v>128</v>
      </c>
      <c r="L7" s="843">
        <v>154</v>
      </c>
      <c r="M7" s="526"/>
    </row>
    <row r="8" spans="2:13" s="5" customFormat="1" ht="13.5" customHeight="1">
      <c r="B8" s="115" t="str">
        <f>names!A2142</f>
        <v>Cena gazu ziemnego Henry Hub (PLN/MWh)</v>
      </c>
      <c r="C8" s="838">
        <f>7*C36</f>
        <v>30.310000000000002</v>
      </c>
      <c r="D8" s="838">
        <f>7*D36</f>
        <v>30.099999999999998</v>
      </c>
      <c r="E8" s="842">
        <v>28</v>
      </c>
      <c r="F8" s="842">
        <f>8*F36</f>
        <v>34.479999999999997</v>
      </c>
      <c r="G8" s="843">
        <f>7*G36</f>
        <v>30.169999999999998</v>
      </c>
      <c r="H8" s="838">
        <f>13*H36</f>
        <v>54.6</v>
      </c>
      <c r="I8" s="838">
        <f>10*I36</f>
        <v>42.599999999999994</v>
      </c>
      <c r="J8" s="838">
        <v>37</v>
      </c>
      <c r="K8" s="842">
        <v>46</v>
      </c>
      <c r="L8" s="843">
        <v>45</v>
      </c>
      <c r="M8" s="526"/>
    </row>
    <row r="9" spans="2:13" s="5" customFormat="1" ht="13.5" customHeight="1">
      <c r="B9" s="115" t="str">
        <f>names!A2143</f>
        <v>Ropa naftowa Brent (USD/bbl)</v>
      </c>
      <c r="C9" s="196">
        <v>83.2</v>
      </c>
      <c r="D9" s="196">
        <v>85</v>
      </c>
      <c r="E9" s="197">
        <v>80.3</v>
      </c>
      <c r="F9" s="197">
        <v>74.7</v>
      </c>
      <c r="G9" s="263">
        <v>80.8</v>
      </c>
      <c r="H9" s="196">
        <v>75.7</v>
      </c>
      <c r="I9" s="196">
        <v>67.900000000000006</v>
      </c>
      <c r="J9" s="197">
        <v>69.099999999999994</v>
      </c>
      <c r="K9" s="197">
        <v>63.7</v>
      </c>
      <c r="L9" s="263">
        <v>69.099999999999994</v>
      </c>
      <c r="M9" s="526"/>
    </row>
    <row r="10" spans="2:13" s="5" customFormat="1" ht="13.5" customHeight="1">
      <c r="B10" s="115" t="str">
        <f>names!A2144</f>
        <v>Cena energii elektrycznej TGeBase (PLN/MWh)</v>
      </c>
      <c r="C10" s="431">
        <v>355</v>
      </c>
      <c r="D10" s="431">
        <v>397</v>
      </c>
      <c r="E10" s="431">
        <v>435</v>
      </c>
      <c r="F10" s="142">
        <v>473</v>
      </c>
      <c r="G10" s="260">
        <v>415</v>
      </c>
      <c r="H10" s="838">
        <v>490</v>
      </c>
      <c r="I10" s="431">
        <v>372</v>
      </c>
      <c r="J10" s="431">
        <v>426</v>
      </c>
      <c r="K10" s="142">
        <v>485</v>
      </c>
      <c r="L10" s="260">
        <v>443</v>
      </c>
      <c r="M10" s="526"/>
    </row>
    <row r="11" spans="2:13" s="5" customFormat="1" ht="13.5" customHeight="1">
      <c r="B11" s="115" t="str">
        <f>names!A2145</f>
        <v>Prawa do emisji CO2 (EUR/t)</v>
      </c>
      <c r="C11" s="431">
        <v>60</v>
      </c>
      <c r="D11" s="431">
        <v>68</v>
      </c>
      <c r="E11" s="142">
        <v>67</v>
      </c>
      <c r="F11" s="142">
        <v>66</v>
      </c>
      <c r="G11" s="260">
        <v>65</v>
      </c>
      <c r="H11" s="838">
        <v>73</v>
      </c>
      <c r="I11" s="431">
        <v>69</v>
      </c>
      <c r="J11" s="142">
        <v>72</v>
      </c>
      <c r="K11" s="142">
        <v>80.900000000000006</v>
      </c>
      <c r="L11" s="260">
        <v>73.900000000000006</v>
      </c>
      <c r="M11" s="526"/>
    </row>
    <row r="12" spans="2:13" s="5" customFormat="1" ht="13.5" customHeight="1">
      <c r="B12" s="807" t="str">
        <f>names!A2146</f>
        <v>Modelowa marża rafineryjna (USD/bbl) 1)</v>
      </c>
      <c r="C12" s="196">
        <v>16</v>
      </c>
      <c r="D12" s="196">
        <v>12.6</v>
      </c>
      <c r="E12" s="196">
        <v>7.7</v>
      </c>
      <c r="F12" s="196">
        <v>7.7</v>
      </c>
      <c r="G12" s="262">
        <v>11</v>
      </c>
      <c r="H12" s="196">
        <v>8.6999999999999993</v>
      </c>
      <c r="I12" s="196">
        <v>11.3</v>
      </c>
      <c r="J12" s="197">
        <v>15.2</v>
      </c>
      <c r="K12" s="197">
        <v>16.899999999999999</v>
      </c>
      <c r="L12" s="263">
        <v>13.1</v>
      </c>
      <c r="M12" s="526"/>
    </row>
    <row r="13" spans="2:13" s="5" customFormat="1" ht="13.5" customHeight="1">
      <c r="B13" s="807" t="str">
        <f>names!A2317</f>
        <v>Dyferencjał 2)</v>
      </c>
      <c r="C13" s="196">
        <v>0.1</v>
      </c>
      <c r="D13" s="196">
        <v>-1</v>
      </c>
      <c r="E13" s="197">
        <v>-1.1000000000000001</v>
      </c>
      <c r="F13" s="197">
        <v>0.8</v>
      </c>
      <c r="G13" s="262">
        <v>-0.2</v>
      </c>
      <c r="H13" s="196">
        <v>0.2</v>
      </c>
      <c r="I13" s="196">
        <v>-1.2</v>
      </c>
      <c r="J13" s="197">
        <v>-2</v>
      </c>
      <c r="K13" s="197">
        <v>-0.7</v>
      </c>
      <c r="L13" s="262">
        <v>-1</v>
      </c>
      <c r="M13" s="526"/>
    </row>
    <row r="14" spans="2:13" s="5" customFormat="1" ht="13.5" customHeight="1">
      <c r="B14" s="115" t="str">
        <f>names!A2148</f>
        <v>Modelowa marża petrochemiczna (EUR/t) 3)</v>
      </c>
      <c r="C14" s="431">
        <v>209</v>
      </c>
      <c r="D14" s="431">
        <v>244</v>
      </c>
      <c r="E14" s="142">
        <v>200</v>
      </c>
      <c r="F14" s="142">
        <v>137</v>
      </c>
      <c r="G14" s="674">
        <v>197</v>
      </c>
      <c r="H14" s="838">
        <v>145</v>
      </c>
      <c r="I14" s="431">
        <v>192</v>
      </c>
      <c r="J14" s="142">
        <v>168</v>
      </c>
      <c r="K14" s="142">
        <v>154</v>
      </c>
      <c r="L14" s="512">
        <v>165</v>
      </c>
      <c r="M14" s="526"/>
    </row>
    <row r="15" spans="2:13" s="5" customFormat="1" ht="8.25" customHeight="1" thickBot="1">
      <c r="B15" s="121"/>
      <c r="C15" s="432"/>
      <c r="D15" s="432"/>
      <c r="E15" s="143"/>
      <c r="F15" s="143"/>
      <c r="G15" s="264"/>
      <c r="H15" s="432"/>
      <c r="I15" s="432"/>
      <c r="J15" s="143"/>
      <c r="K15" s="143"/>
      <c r="L15" s="264"/>
      <c r="M15" s="526"/>
    </row>
    <row r="16" spans="2:13" s="5" customFormat="1" ht="13.5" thickBot="1">
      <c r="B16" s="119" t="str">
        <f>names!$A2149</f>
        <v>Produkty rafineryjne (USD/t) – marża (crack) z notowań 4)</v>
      </c>
      <c r="C16" s="433"/>
      <c r="D16" s="433"/>
      <c r="E16" s="144"/>
      <c r="F16" s="144"/>
      <c r="G16" s="265"/>
      <c r="H16" s="433"/>
      <c r="I16" s="433"/>
      <c r="J16" s="144"/>
      <c r="K16" s="144"/>
      <c r="L16" s="265"/>
      <c r="M16" s="526"/>
    </row>
    <row r="17" spans="2:15" s="5" customFormat="1" ht="13.5" customHeight="1">
      <c r="B17" s="115" t="str">
        <f>names!$A2150</f>
        <v>Benzyna</v>
      </c>
      <c r="C17" s="431">
        <v>249</v>
      </c>
      <c r="D17" s="431">
        <v>269</v>
      </c>
      <c r="E17" s="142">
        <v>193</v>
      </c>
      <c r="F17" s="142">
        <v>162</v>
      </c>
      <c r="G17" s="260">
        <v>217</v>
      </c>
      <c r="H17" s="431">
        <v>167</v>
      </c>
      <c r="I17" s="431">
        <v>209</v>
      </c>
      <c r="J17" s="142">
        <v>224</v>
      </c>
      <c r="K17" s="142">
        <v>226</v>
      </c>
      <c r="L17" s="260">
        <v>207</v>
      </c>
      <c r="M17" s="526"/>
      <c r="N17" s="849"/>
      <c r="O17" s="849"/>
    </row>
    <row r="18" spans="2:15" s="5" customFormat="1" ht="13.5" customHeight="1">
      <c r="B18" s="115" t="str">
        <f>names!$A2151</f>
        <v>ON</v>
      </c>
      <c r="C18" s="431">
        <v>210</v>
      </c>
      <c r="D18" s="431">
        <v>141</v>
      </c>
      <c r="E18" s="142">
        <v>113</v>
      </c>
      <c r="F18" s="142">
        <v>118</v>
      </c>
      <c r="G18" s="260">
        <v>145</v>
      </c>
      <c r="H18" s="431">
        <v>136</v>
      </c>
      <c r="I18" s="431">
        <v>132</v>
      </c>
      <c r="J18" s="142">
        <v>189</v>
      </c>
      <c r="K18" s="142">
        <v>212</v>
      </c>
      <c r="L18" s="260">
        <v>168</v>
      </c>
      <c r="M18" s="526"/>
      <c r="N18" s="849"/>
      <c r="O18" s="849"/>
    </row>
    <row r="19" spans="2:15" s="5" customFormat="1" ht="13.5" customHeight="1">
      <c r="B19" s="115" t="str">
        <f>names!$A2152</f>
        <v>Lekki olej opałowy</v>
      </c>
      <c r="C19" s="431">
        <v>183</v>
      </c>
      <c r="D19" s="431">
        <v>128</v>
      </c>
      <c r="E19" s="142">
        <v>99</v>
      </c>
      <c r="F19" s="142">
        <v>107</v>
      </c>
      <c r="G19" s="260">
        <v>129</v>
      </c>
      <c r="H19" s="431">
        <v>119</v>
      </c>
      <c r="I19" s="431">
        <v>125</v>
      </c>
      <c r="J19" s="142">
        <v>175</v>
      </c>
      <c r="K19" s="142">
        <v>190</v>
      </c>
      <c r="L19" s="260">
        <v>153</v>
      </c>
      <c r="M19" s="526"/>
      <c r="N19" s="849"/>
      <c r="O19" s="849"/>
    </row>
    <row r="20" spans="2:15" s="5" customFormat="1" ht="13.5" customHeight="1">
      <c r="B20" s="115" t="str">
        <f>names!$A2153</f>
        <v>Jet A-1</v>
      </c>
      <c r="C20" s="431">
        <v>248</v>
      </c>
      <c r="D20" s="431">
        <v>182</v>
      </c>
      <c r="E20" s="142">
        <v>151</v>
      </c>
      <c r="F20" s="142">
        <v>147</v>
      </c>
      <c r="G20" s="260">
        <v>181</v>
      </c>
      <c r="H20" s="431">
        <v>164</v>
      </c>
      <c r="I20" s="431">
        <v>170</v>
      </c>
      <c r="J20" s="142">
        <v>201</v>
      </c>
      <c r="K20" s="142">
        <v>248</v>
      </c>
      <c r="L20" s="260">
        <v>196</v>
      </c>
      <c r="M20" s="526"/>
      <c r="N20" s="849"/>
      <c r="O20" s="849"/>
    </row>
    <row r="21" spans="2:15" s="5" customFormat="1" ht="13.5" customHeight="1">
      <c r="B21" s="115" t="str">
        <f>names!$A2154</f>
        <v>Ciężki olej opałowy</v>
      </c>
      <c r="C21" s="838">
        <v>-191</v>
      </c>
      <c r="D21" s="838">
        <v>-174</v>
      </c>
      <c r="E21" s="838">
        <v>-166</v>
      </c>
      <c r="F21" s="838">
        <v>-115</v>
      </c>
      <c r="G21" s="512">
        <v>-161</v>
      </c>
      <c r="H21" s="838">
        <v>-132</v>
      </c>
      <c r="I21" s="838">
        <v>-102</v>
      </c>
      <c r="J21" s="838">
        <v>-120</v>
      </c>
      <c r="K21" s="838">
        <v>-120</v>
      </c>
      <c r="L21" s="512">
        <v>-119</v>
      </c>
      <c r="M21" s="526"/>
      <c r="N21" s="849"/>
      <c r="O21" s="849"/>
    </row>
    <row r="22" spans="2:15" s="5" customFormat="1">
      <c r="B22" s="115" t="str">
        <f>names!$A2155</f>
        <v>SN 150</v>
      </c>
      <c r="C22" s="431">
        <v>128</v>
      </c>
      <c r="D22" s="431">
        <v>319</v>
      </c>
      <c r="E22" s="142">
        <v>407</v>
      </c>
      <c r="F22" s="142">
        <v>376</v>
      </c>
      <c r="G22" s="260">
        <v>308</v>
      </c>
      <c r="H22" s="431">
        <v>304</v>
      </c>
      <c r="I22" s="431">
        <v>384</v>
      </c>
      <c r="J22" s="142">
        <v>318</v>
      </c>
      <c r="K22" s="142">
        <v>255</v>
      </c>
      <c r="L22" s="260">
        <v>315</v>
      </c>
      <c r="M22" s="526"/>
      <c r="N22" s="849"/>
      <c r="O22" s="849"/>
    </row>
    <row r="23" spans="2:15" s="5" customFormat="1" ht="8.25" customHeight="1" thickBot="1">
      <c r="B23" s="115"/>
      <c r="C23" s="431"/>
      <c r="D23" s="431"/>
      <c r="E23" s="142"/>
      <c r="F23" s="142"/>
      <c r="G23" s="260"/>
      <c r="H23" s="431"/>
      <c r="I23" s="431"/>
      <c r="J23" s="142"/>
      <c r="K23" s="142"/>
      <c r="L23" s="260"/>
      <c r="M23" s="526"/>
      <c r="N23" s="849"/>
      <c r="O23" s="849"/>
    </row>
    <row r="24" spans="2:15" s="5" customFormat="1" ht="13.5" thickBot="1">
      <c r="B24" s="119" t="str">
        <f>names!$A2156</f>
        <v>Produkty petrochemiczne (EUR/t) – marża (crack) z notowań 4)</v>
      </c>
      <c r="C24" s="433"/>
      <c r="D24" s="433"/>
      <c r="E24" s="144"/>
      <c r="F24" s="144"/>
      <c r="G24" s="265"/>
      <c r="H24" s="433"/>
      <c r="I24" s="433"/>
      <c r="J24" s="144"/>
      <c r="K24" s="144"/>
      <c r="L24" s="265"/>
      <c r="M24" s="526"/>
      <c r="N24" s="849"/>
      <c r="O24" s="849"/>
    </row>
    <row r="25" spans="2:15" s="5" customFormat="1" ht="13.5" customHeight="1">
      <c r="B25" s="115" t="str">
        <f>names!$A2157</f>
        <v>Polietylen 5)</v>
      </c>
      <c r="C25" s="431">
        <v>433</v>
      </c>
      <c r="D25" s="431">
        <v>478</v>
      </c>
      <c r="E25" s="142">
        <v>471</v>
      </c>
      <c r="F25" s="142">
        <v>470</v>
      </c>
      <c r="G25" s="260">
        <v>463</v>
      </c>
      <c r="H25" s="431">
        <v>455</v>
      </c>
      <c r="I25" s="431">
        <v>525</v>
      </c>
      <c r="J25" s="431">
        <v>503</v>
      </c>
      <c r="K25" s="142">
        <v>465</v>
      </c>
      <c r="L25" s="260">
        <v>487</v>
      </c>
      <c r="M25" s="526"/>
      <c r="N25" s="849"/>
      <c r="O25" s="849"/>
    </row>
    <row r="26" spans="2:15" s="5" customFormat="1" ht="13.5" customHeight="1">
      <c r="B26" s="115" t="str">
        <f>names!$A2158</f>
        <v>Polipropylen 5)</v>
      </c>
      <c r="C26" s="431">
        <v>392</v>
      </c>
      <c r="D26" s="431">
        <v>432</v>
      </c>
      <c r="E26" s="142">
        <v>423</v>
      </c>
      <c r="F26" s="142">
        <v>421</v>
      </c>
      <c r="G26" s="260">
        <v>417</v>
      </c>
      <c r="H26" s="431">
        <v>387</v>
      </c>
      <c r="I26" s="431">
        <v>408</v>
      </c>
      <c r="J26" s="431">
        <v>382</v>
      </c>
      <c r="K26" s="142">
        <v>346</v>
      </c>
      <c r="L26" s="260">
        <v>381</v>
      </c>
      <c r="M26" s="526"/>
      <c r="N26" s="849"/>
      <c r="O26" s="849"/>
    </row>
    <row r="27" spans="2:15" s="5" customFormat="1" ht="13.5" customHeight="1">
      <c r="B27" s="115" t="str">
        <f>names!$A2159</f>
        <v>Etylen</v>
      </c>
      <c r="C27" s="431">
        <v>581</v>
      </c>
      <c r="D27" s="431">
        <v>618</v>
      </c>
      <c r="E27" s="142">
        <v>627</v>
      </c>
      <c r="F27" s="142">
        <v>611</v>
      </c>
      <c r="G27" s="260">
        <v>610</v>
      </c>
      <c r="H27" s="431">
        <v>632</v>
      </c>
      <c r="I27" s="431">
        <v>671</v>
      </c>
      <c r="J27" s="431">
        <v>652</v>
      </c>
      <c r="K27" s="142">
        <v>665</v>
      </c>
      <c r="L27" s="260">
        <v>657</v>
      </c>
      <c r="M27" s="526"/>
      <c r="N27" s="849"/>
      <c r="O27" s="849"/>
    </row>
    <row r="28" spans="2:15" s="5" customFormat="1" ht="13.5" customHeight="1">
      <c r="B28" s="115" t="str">
        <f>names!$A2160</f>
        <v>Propylen</v>
      </c>
      <c r="C28" s="431">
        <v>461</v>
      </c>
      <c r="D28" s="431">
        <v>503</v>
      </c>
      <c r="E28" s="142">
        <v>508</v>
      </c>
      <c r="F28" s="142">
        <v>485</v>
      </c>
      <c r="G28" s="260">
        <v>490</v>
      </c>
      <c r="H28" s="431">
        <v>504</v>
      </c>
      <c r="I28" s="431">
        <v>549</v>
      </c>
      <c r="J28" s="431">
        <v>530</v>
      </c>
      <c r="K28" s="142">
        <v>540</v>
      </c>
      <c r="L28" s="260">
        <v>533</v>
      </c>
      <c r="M28" s="526"/>
      <c r="N28" s="849"/>
      <c r="O28" s="849"/>
    </row>
    <row r="29" spans="2:15" s="5" customFormat="1" ht="13.5" customHeight="1">
      <c r="B29" s="115" t="str">
        <f>names!$A2161</f>
        <v>Toluen</v>
      </c>
      <c r="C29" s="431">
        <v>364</v>
      </c>
      <c r="D29" s="431">
        <v>454</v>
      </c>
      <c r="E29" s="142">
        <v>293</v>
      </c>
      <c r="F29" s="142">
        <v>204</v>
      </c>
      <c r="G29" s="260">
        <v>332</v>
      </c>
      <c r="H29" s="431">
        <v>246</v>
      </c>
      <c r="I29" s="431">
        <v>285</v>
      </c>
      <c r="J29" s="431">
        <v>266</v>
      </c>
      <c r="K29" s="142">
        <v>283</v>
      </c>
      <c r="L29" s="260">
        <v>272</v>
      </c>
      <c r="M29" s="526"/>
      <c r="N29" s="849"/>
      <c r="O29" s="849"/>
    </row>
    <row r="30" spans="2:15" s="5" customFormat="1" ht="13.5" customHeight="1">
      <c r="B30" s="115" t="str">
        <f>names!$A2162</f>
        <v>Benzen</v>
      </c>
      <c r="C30" s="431">
        <v>420</v>
      </c>
      <c r="D30" s="431">
        <v>541</v>
      </c>
      <c r="E30" s="142">
        <v>340</v>
      </c>
      <c r="F30" s="142">
        <v>241</v>
      </c>
      <c r="G30" s="260">
        <v>389</v>
      </c>
      <c r="H30" s="431">
        <v>248</v>
      </c>
      <c r="I30" s="431">
        <v>135</v>
      </c>
      <c r="J30" s="431">
        <v>141</v>
      </c>
      <c r="K30" s="142">
        <v>153</v>
      </c>
      <c r="L30" s="260">
        <v>171</v>
      </c>
      <c r="M30" s="526"/>
      <c r="N30" s="849"/>
      <c r="O30" s="849"/>
    </row>
    <row r="31" spans="2:15" s="925" customFormat="1" ht="13.5" customHeight="1">
      <c r="B31" s="115" t="str">
        <f>names!$A2163</f>
        <v>Butadien</v>
      </c>
      <c r="C31" s="431">
        <v>218</v>
      </c>
      <c r="D31" s="431">
        <v>362</v>
      </c>
      <c r="E31" s="142">
        <v>430</v>
      </c>
      <c r="F31" s="142">
        <v>425</v>
      </c>
      <c r="G31" s="260">
        <v>358</v>
      </c>
      <c r="H31" s="431">
        <v>419</v>
      </c>
      <c r="I31" s="431">
        <v>471</v>
      </c>
      <c r="J31" s="431">
        <v>369</v>
      </c>
      <c r="K31" s="142">
        <v>300</v>
      </c>
      <c r="L31" s="260">
        <v>392</v>
      </c>
      <c r="M31" s="526"/>
      <c r="N31" s="926"/>
      <c r="O31" s="926"/>
    </row>
    <row r="32" spans="2:15" s="5" customFormat="1" ht="13.5" customHeight="1" thickBot="1">
      <c r="B32" s="47" t="str">
        <f>names!$A2164</f>
        <v>Paraksylen</v>
      </c>
      <c r="C32" s="431">
        <v>366</v>
      </c>
      <c r="D32" s="431">
        <v>388</v>
      </c>
      <c r="E32" s="142">
        <v>363</v>
      </c>
      <c r="F32" s="142">
        <v>247</v>
      </c>
      <c r="G32" s="260">
        <v>343</v>
      </c>
      <c r="H32" s="431">
        <v>265</v>
      </c>
      <c r="I32" s="672">
        <v>329</v>
      </c>
      <c r="J32" s="672">
        <v>313</v>
      </c>
      <c r="K32" s="844">
        <v>302</v>
      </c>
      <c r="L32" s="260">
        <v>304</v>
      </c>
      <c r="M32" s="526"/>
      <c r="N32" s="849"/>
      <c r="O32" s="849"/>
    </row>
    <row r="33" spans="2:13" ht="8.25" customHeight="1" thickBot="1">
      <c r="B33" s="47"/>
      <c r="G33" s="809"/>
      <c r="L33" s="260"/>
      <c r="M33" s="526"/>
    </row>
    <row r="34" spans="2:13" ht="14.25" customHeight="1" thickBot="1">
      <c r="B34" s="119" t="str">
        <f>names!$A2166</f>
        <v>Średnie kursy walut  6)</v>
      </c>
      <c r="C34" s="433"/>
      <c r="D34" s="433"/>
      <c r="E34" s="433"/>
      <c r="F34" s="433"/>
      <c r="G34" s="265"/>
      <c r="H34" s="433"/>
      <c r="I34" s="433"/>
      <c r="J34" s="119"/>
      <c r="K34" s="119"/>
      <c r="L34" s="810"/>
      <c r="M34" s="526"/>
    </row>
    <row r="35" spans="2:13" ht="13.5" customHeight="1">
      <c r="B35" s="115" t="s">
        <v>133</v>
      </c>
      <c r="C35" s="5">
        <v>3.99</v>
      </c>
      <c r="D35" s="451">
        <v>4</v>
      </c>
      <c r="E35" s="5">
        <v>3.9</v>
      </c>
      <c r="F35" s="5">
        <v>4.04</v>
      </c>
      <c r="G35" s="839">
        <v>3.98</v>
      </c>
      <c r="H35" s="5">
        <v>3.99</v>
      </c>
      <c r="I35" s="18">
        <v>3.76</v>
      </c>
      <c r="J35" s="5">
        <v>3.64</v>
      </c>
      <c r="K35" s="5">
        <v>3.64</v>
      </c>
      <c r="L35" s="839">
        <v>3.76</v>
      </c>
      <c r="M35" s="526"/>
    </row>
    <row r="36" spans="2:13" ht="13.5" customHeight="1">
      <c r="B36" s="115" t="s">
        <v>134</v>
      </c>
      <c r="C36" s="5">
        <v>4.33</v>
      </c>
      <c r="D36" s="5">
        <v>4.3</v>
      </c>
      <c r="E36" s="5">
        <v>4.28</v>
      </c>
      <c r="F36" s="5">
        <v>4.3099999999999996</v>
      </c>
      <c r="G36" s="839">
        <v>4.3099999999999996</v>
      </c>
      <c r="H36" s="18">
        <v>4.2</v>
      </c>
      <c r="I36" s="18">
        <v>4.26</v>
      </c>
      <c r="J36" s="5">
        <v>4.26</v>
      </c>
      <c r="K36" s="5">
        <v>4.24</v>
      </c>
      <c r="L36" s="839">
        <v>4.24</v>
      </c>
      <c r="M36" s="526"/>
    </row>
    <row r="37" spans="2:13" ht="13.5" customHeight="1">
      <c r="B37" s="115" t="s">
        <v>1744</v>
      </c>
      <c r="C37" s="5">
        <v>0.38</v>
      </c>
      <c r="D37" s="5">
        <v>0.37</v>
      </c>
      <c r="E37" s="5">
        <v>0.36</v>
      </c>
      <c r="F37" s="5">
        <v>0.37</v>
      </c>
      <c r="G37" s="839">
        <v>0.37</v>
      </c>
      <c r="H37" s="5">
        <v>0.36</v>
      </c>
      <c r="I37" s="18">
        <v>0.37</v>
      </c>
      <c r="J37" s="5">
        <v>0.36</v>
      </c>
      <c r="K37" s="5">
        <v>0.36</v>
      </c>
      <c r="L37" s="839">
        <v>0.36</v>
      </c>
      <c r="M37" s="526"/>
    </row>
    <row r="38" spans="2:13" ht="13.5" customHeight="1">
      <c r="B38" s="46" t="s">
        <v>774</v>
      </c>
      <c r="C38" s="18">
        <f>'Kursy''13-''24'!BF12</f>
        <v>1.0900000000000001</v>
      </c>
      <c r="D38" s="18">
        <f>'Kursy''13-''24'!BG12</f>
        <v>1.08</v>
      </c>
      <c r="E38" s="18">
        <f>'Kursy''13-''24'!BH12</f>
        <v>1.1000000000000001</v>
      </c>
      <c r="F38" s="18">
        <f>'Kursy''13-''24'!BI12</f>
        <v>1.07</v>
      </c>
      <c r="G38" s="244">
        <f>'Kursy''13-''24'!BJ12</f>
        <v>1.08</v>
      </c>
      <c r="H38" s="5">
        <v>1.05</v>
      </c>
      <c r="I38" s="5">
        <v>1.1299999999999999</v>
      </c>
      <c r="J38" s="5">
        <v>1.17</v>
      </c>
      <c r="K38" s="5">
        <v>1.1599999999999999</v>
      </c>
      <c r="L38" s="839">
        <v>1.1299999999999999</v>
      </c>
      <c r="M38" s="526"/>
    </row>
    <row r="39" spans="2:13" ht="7.5" customHeight="1">
      <c r="B39" s="46"/>
    </row>
    <row r="40" spans="2:13" ht="8.25" customHeight="1">
      <c r="B40" s="46"/>
    </row>
    <row r="41" spans="2:13" ht="13.5" customHeight="1">
      <c r="B41" s="986" t="str">
        <f>names!$A2172</f>
        <v>1) Modelowa marża rafineryjna = przychody (33% Benzyna + 48% Olej Napędowy + 13% COO) – koszty (98% Ropa Brent + 2% Gaz ziemny). Notowania spot.</v>
      </c>
      <c r="C41" s="987"/>
      <c r="D41" s="987"/>
      <c r="E41" s="987"/>
      <c r="F41" s="987"/>
      <c r="G41" s="986"/>
      <c r="H41" s="987"/>
      <c r="I41" s="987"/>
      <c r="J41" s="987"/>
      <c r="K41" s="987"/>
      <c r="L41" s="850"/>
    </row>
    <row r="42" spans="2:13" ht="13.5" customHeight="1">
      <c r="B42" s="986" t="str">
        <f>names!A2173</f>
        <v>2) Dyferencjał liczony na bazie rzeczywistego udziału przerobionych rop. Notowania spot.</v>
      </c>
      <c r="C42" s="987"/>
      <c r="D42" s="987"/>
      <c r="E42" s="987"/>
      <c r="F42" s="987"/>
      <c r="G42" s="986"/>
      <c r="H42" s="987"/>
      <c r="I42" s="987"/>
      <c r="J42" s="987"/>
      <c r="K42" s="987"/>
      <c r="L42" s="850"/>
    </row>
    <row r="43" spans="2:13" ht="13.5" customHeight="1">
      <c r="B43" s="986" t="str">
        <f>names!A2174</f>
        <v>3) Modelowa Marża Petrochemiczna = przychody (25% HDPE [Spot] + 16% PP Homo [Spot] + 9% Etylen [kontrakt] + 7% Toluen [kontrakt] + 14% Benzen [kontrakt]) – koszty (75% Nafta + 13% COO + 13% LPG [Spot]) - 6% koszty CO2 [EUA].</v>
      </c>
      <c r="C43" s="986"/>
      <c r="D43" s="986"/>
      <c r="E43" s="986"/>
      <c r="F43" s="986"/>
      <c r="G43" s="986"/>
      <c r="H43" s="986"/>
      <c r="I43" s="986"/>
      <c r="J43" s="986"/>
    </row>
    <row r="44" spans="2:13" ht="13.5" customHeight="1">
      <c r="B44" s="986" t="str">
        <f>names!A2175</f>
        <v>4) Marże (crack) dla produktów rafineryjnych i petrochemicznych (z wyjątkiem polimerów) wyliczone jako różnica pomiędzy notowaniem danego produktu a notowaniem ropy Brent DTD.</v>
      </c>
      <c r="C44" s="986"/>
      <c r="D44" s="986"/>
      <c r="E44" s="986"/>
      <c r="F44" s="986"/>
      <c r="G44" s="986"/>
      <c r="H44" s="625"/>
      <c r="I44" s="625"/>
      <c r="J44" s="625"/>
      <c r="K44" s="625"/>
      <c r="L44" s="850"/>
      <c r="M44" s="526"/>
    </row>
    <row r="45" spans="2:13" ht="13.5" customHeight="1">
      <c r="B45" s="986" t="str">
        <f>names!A2176</f>
        <v>5) Marża (crack) dla polimerów wyliczona jako różnica pomiędzy notowaniami polimerów a notowaniami monomerów.</v>
      </c>
      <c r="C45" s="987"/>
      <c r="D45" s="987"/>
      <c r="E45" s="987"/>
      <c r="F45" s="987"/>
      <c r="G45" s="986"/>
      <c r="H45" s="987"/>
      <c r="I45" s="987"/>
      <c r="J45" s="987"/>
      <c r="K45" s="987"/>
      <c r="L45" s="850"/>
    </row>
    <row r="46" spans="2:13" ht="13.5" customHeight="1">
      <c r="B46" s="986" t="str">
        <f>names!A2177</f>
        <v>6) Kursy średnie wg danych Narodowego Banku Polskiego i Europejskiego Banku Centralnego.</v>
      </c>
      <c r="C46" s="987"/>
      <c r="D46" s="987"/>
      <c r="E46" s="987"/>
      <c r="F46" s="987"/>
      <c r="G46" s="986"/>
      <c r="H46" s="987"/>
      <c r="I46" s="987"/>
      <c r="J46" s="987"/>
      <c r="K46" s="987"/>
      <c r="L46" s="850"/>
    </row>
    <row r="47" spans="2:13" ht="10.15" customHeight="1">
      <c r="B47" s="801"/>
    </row>
    <row r="50" spans="2:2" s="721" customFormat="1" ht="9.75"/>
    <row r="51" spans="2:2">
      <c r="B51" s="526"/>
    </row>
  </sheetData>
  <mergeCells count="10">
    <mergeCell ref="B41:F41"/>
    <mergeCell ref="G41:K41"/>
    <mergeCell ref="B45:F45"/>
    <mergeCell ref="G45:K45"/>
    <mergeCell ref="B46:F46"/>
    <mergeCell ref="G46:K46"/>
    <mergeCell ref="B42:F42"/>
    <mergeCell ref="G42:K42"/>
    <mergeCell ref="B44:G44"/>
    <mergeCell ref="B43:J43"/>
  </mergeCells>
  <conditionalFormatting sqref="A50:XFD50">
    <cfRule type="cellIs" dxfId="128"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0.34998626667073579"/>
    <pageSetUpPr fitToPage="1"/>
  </sheetPr>
  <dimension ref="A2:I80"/>
  <sheetViews>
    <sheetView showGridLines="0" view="pageBreakPreview" zoomScaleNormal="100" zoomScaleSheetLayoutView="100" workbookViewId="0">
      <pane xSplit="2" ySplit="4" topLeftCell="C14" activePane="bottomRight" state="frozen"/>
      <selection activeCell="B7" sqref="B7"/>
      <selection pane="topRight" activeCell="B7" sqref="B7"/>
      <selection pane="bottomLeft" activeCell="B7" sqref="B7"/>
      <selection pane="bottomRight" activeCell="B4" sqref="B4:B51"/>
    </sheetView>
  </sheetViews>
  <sheetFormatPr defaultColWidth="9.28515625" defaultRowHeight="12.75" outlineLevelCol="1"/>
  <cols>
    <col min="1" max="1" width="1.28515625" customWidth="1"/>
    <col min="2" max="2" width="88.42578125" style="13" customWidth="1"/>
    <col min="3" max="6" width="8.5703125" style="10" hidden="1" customWidth="1" outlineLevel="1"/>
    <col min="7" max="7" width="10.28515625" style="10" customWidth="1" collapsed="1"/>
  </cols>
  <sheetData>
    <row r="2" spans="1:9" ht="15.75">
      <c r="B2" s="397" t="str">
        <f>names!A1739</f>
        <v>Skonsolidowane sprawozdanie z przepływów pieniężnych</v>
      </c>
      <c r="H2" s="577"/>
    </row>
    <row r="3" spans="1:9" ht="10.15" customHeight="1">
      <c r="H3" s="577"/>
    </row>
    <row r="4" spans="1:9" s="1" customFormat="1" ht="21.75" customHeight="1">
      <c r="B4" s="15" t="str">
        <f>names!A1741</f>
        <v>Wyszczególnienie, 
mln PLN</v>
      </c>
      <c r="C4" s="15" t="str">
        <f>names!$A1792</f>
        <v>I kw.
2021*</v>
      </c>
      <c r="D4" s="15" t="str">
        <f>names!$A1793</f>
        <v>II kw.
2021*</v>
      </c>
      <c r="E4" s="15" t="str">
        <f>names!$A1794</f>
        <v>III kw.
2021*</v>
      </c>
      <c r="F4" s="15" t="str">
        <f>names!$A1795</f>
        <v>IV kw.
2021</v>
      </c>
      <c r="G4" s="15" t="str">
        <f>names!$A1796</f>
        <v>12 m-cy
2021</v>
      </c>
      <c r="H4" s="577"/>
      <c r="I4"/>
    </row>
    <row r="5" spans="1:9" s="30" customFormat="1" ht="7.15" customHeight="1">
      <c r="B5" s="92"/>
      <c r="C5" s="92"/>
      <c r="D5" s="92"/>
      <c r="E5" s="92"/>
      <c r="F5" s="92"/>
      <c r="G5" s="92"/>
      <c r="H5" s="577"/>
      <c r="I5"/>
    </row>
    <row r="6" spans="1:9" s="1" customFormat="1">
      <c r="B6" s="406" t="str">
        <f>names!A1743</f>
        <v>Przepływy pieniężne z działalności operacyjnej</v>
      </c>
      <c r="C6" s="27"/>
      <c r="D6" s="27"/>
      <c r="E6" s="27"/>
      <c r="F6" s="27"/>
      <c r="G6" s="227"/>
      <c r="H6" s="577"/>
      <c r="I6"/>
    </row>
    <row r="7" spans="1:9" s="1" customFormat="1">
      <c r="B7" s="402" t="str">
        <f>names!A1744</f>
        <v>Zysk/(Strata) przed opodatkowaniem</v>
      </c>
      <c r="C7" s="130">
        <v>2161</v>
      </c>
      <c r="D7" s="130">
        <v>2854</v>
      </c>
      <c r="E7" s="130">
        <v>3557</v>
      </c>
      <c r="F7" s="130">
        <v>5111</v>
      </c>
      <c r="G7" s="228">
        <v>13683</v>
      </c>
      <c r="H7" s="577"/>
      <c r="I7"/>
    </row>
    <row r="8" spans="1:9" s="1" customFormat="1">
      <c r="B8" s="46" t="str">
        <f>names!A1745</f>
        <v>Korekty o pozycje:</v>
      </c>
      <c r="C8" s="504"/>
      <c r="D8" s="504"/>
      <c r="E8" s="504"/>
      <c r="F8" s="131"/>
      <c r="G8" s="229"/>
      <c r="H8" s="577"/>
      <c r="I8"/>
    </row>
    <row r="9" spans="1:9" s="1" customFormat="1" ht="11.25" customHeight="1">
      <c r="B9" s="405" t="str">
        <f>names!A1746</f>
        <v>Udział w wyniku finansowym jednostek wycenianych metodą praw własności</v>
      </c>
      <c r="C9" s="504">
        <v>-81</v>
      </c>
      <c r="D9" s="504">
        <v>-207</v>
      </c>
      <c r="E9" s="504">
        <v>-100</v>
      </c>
      <c r="F9" s="131">
        <v>-225</v>
      </c>
      <c r="G9" s="229">
        <v>-613</v>
      </c>
      <c r="H9" s="577"/>
      <c r="I9"/>
    </row>
    <row r="10" spans="1:9" s="1" customFormat="1">
      <c r="B10" s="405" t="str">
        <f>names!A1747</f>
        <v>Amortyzacja</v>
      </c>
      <c r="C10" s="504">
        <v>1311</v>
      </c>
      <c r="D10" s="504">
        <v>1294</v>
      </c>
      <c r="E10" s="504">
        <v>1328</v>
      </c>
      <c r="F10" s="131">
        <v>1408</v>
      </c>
      <c r="G10" s="229">
        <v>5341</v>
      </c>
      <c r="H10" s="577"/>
      <c r="I10"/>
    </row>
    <row r="11" spans="1:9" s="1" customFormat="1">
      <c r="B11" s="405" t="str">
        <f>names!A1748</f>
        <v>(Zysk)/Strata z tytułu różnic kursowych</v>
      </c>
      <c r="C11" s="504">
        <v>20</v>
      </c>
      <c r="D11" s="504">
        <v>-220</v>
      </c>
      <c r="E11" s="504">
        <v>160</v>
      </c>
      <c r="F11" s="131">
        <v>-112</v>
      </c>
      <c r="G11" s="229">
        <v>-152</v>
      </c>
      <c r="H11" s="577"/>
      <c r="I11"/>
    </row>
    <row r="12" spans="1:9" s="1" customFormat="1">
      <c r="B12" s="405" t="str">
        <f>names!A1749</f>
        <v>Odsetki netto</v>
      </c>
      <c r="C12" s="504">
        <v>100</v>
      </c>
      <c r="D12" s="504">
        <v>121</v>
      </c>
      <c r="E12" s="504">
        <v>101</v>
      </c>
      <c r="F12" s="131">
        <v>109</v>
      </c>
      <c r="G12" s="229">
        <v>431</v>
      </c>
      <c r="H12" s="577"/>
      <c r="I12"/>
    </row>
    <row r="13" spans="1:9" s="1" customFormat="1">
      <c r="B13" s="405" t="str">
        <f>names!A1750</f>
        <v>Dywidendy</v>
      </c>
      <c r="C13" s="504">
        <v>0</v>
      </c>
      <c r="D13" s="504">
        <v>-3</v>
      </c>
      <c r="E13" s="504">
        <v>0</v>
      </c>
      <c r="F13" s="131">
        <v>0</v>
      </c>
      <c r="G13" s="229">
        <v>-3</v>
      </c>
      <c r="H13" s="577"/>
      <c r="I13"/>
    </row>
    <row r="14" spans="1:9" s="1" customFormat="1">
      <c r="B14" s="405" t="str">
        <f>names!A1751</f>
        <v>(Zysk)/Strata na działalności inwestycyjnej</v>
      </c>
      <c r="C14" s="504">
        <v>-413</v>
      </c>
      <c r="D14" s="504">
        <v>-215</v>
      </c>
      <c r="E14" s="504">
        <v>-328</v>
      </c>
      <c r="F14" s="131">
        <v>-2699</v>
      </c>
      <c r="G14" s="229">
        <v>-3655</v>
      </c>
      <c r="H14" s="577"/>
      <c r="I14"/>
    </row>
    <row r="15" spans="1:9" s="1" customFormat="1">
      <c r="A15" s="62"/>
      <c r="B15" s="509" t="str">
        <f>names!A1752</f>
        <v xml:space="preserve">Zmiana stanu rezerw </v>
      </c>
      <c r="C15" s="510">
        <v>1123</v>
      </c>
      <c r="D15" s="510">
        <v>1233</v>
      </c>
      <c r="E15" s="510">
        <v>1537</v>
      </c>
      <c r="F15" s="151">
        <v>2206</v>
      </c>
      <c r="G15" s="239">
        <v>6099</v>
      </c>
      <c r="H15" s="577"/>
      <c r="I15"/>
    </row>
    <row r="16" spans="1:9" s="1" customFormat="1">
      <c r="A16" s="62"/>
      <c r="B16" s="407" t="str">
        <f>names!A1753</f>
        <v>Zmiana stanu kapitału pracującego</v>
      </c>
      <c r="C16" s="506">
        <v>-302</v>
      </c>
      <c r="D16" s="506">
        <v>425</v>
      </c>
      <c r="E16" s="506">
        <v>-1196</v>
      </c>
      <c r="F16" s="133">
        <f>-3368-1</f>
        <v>-3369</v>
      </c>
      <c r="G16" s="230">
        <v>-4442</v>
      </c>
      <c r="H16" s="577"/>
      <c r="I16"/>
    </row>
    <row r="17" spans="1:9" s="26" customFormat="1">
      <c r="A17" s="453"/>
      <c r="B17" s="408" t="str">
        <f>names!A1754</f>
        <v>zapasy</v>
      </c>
      <c r="C17" s="505">
        <v>-1967</v>
      </c>
      <c r="D17" s="505">
        <v>-469</v>
      </c>
      <c r="E17" s="505">
        <v>-1155</v>
      </c>
      <c r="F17" s="132">
        <v>-2178</v>
      </c>
      <c r="G17" s="231">
        <v>-5769</v>
      </c>
      <c r="H17" s="577"/>
      <c r="I17"/>
    </row>
    <row r="18" spans="1:9" s="26" customFormat="1">
      <c r="A18" s="453"/>
      <c r="B18" s="408" t="str">
        <f>names!A1755</f>
        <v>należności</v>
      </c>
      <c r="C18" s="505">
        <v>-675</v>
      </c>
      <c r="D18" s="505">
        <v>-1299</v>
      </c>
      <c r="E18" s="505">
        <v>-1438</v>
      </c>
      <c r="F18" s="132">
        <f>-377-1</f>
        <v>-378</v>
      </c>
      <c r="G18" s="231">
        <v>-3790</v>
      </c>
      <c r="H18" s="577"/>
      <c r="I18"/>
    </row>
    <row r="19" spans="1:9" s="26" customFormat="1">
      <c r="A19" s="453"/>
      <c r="B19" s="408" t="str">
        <f>names!A1756</f>
        <v>zobowiązania</v>
      </c>
      <c r="C19" s="505">
        <v>2340</v>
      </c>
      <c r="D19" s="505">
        <v>2193</v>
      </c>
      <c r="E19" s="505">
        <v>1397</v>
      </c>
      <c r="F19" s="132">
        <v>-813</v>
      </c>
      <c r="G19" s="231">
        <v>5117</v>
      </c>
      <c r="H19" s="577"/>
      <c r="I19"/>
    </row>
    <row r="20" spans="1:9" s="1" customFormat="1">
      <c r="A20" s="62"/>
      <c r="B20" s="405" t="str">
        <f>names!A1757</f>
        <v>Pozostałe korekty</v>
      </c>
      <c r="C20" s="504">
        <v>75</v>
      </c>
      <c r="D20" s="504">
        <v>264</v>
      </c>
      <c r="E20" s="504">
        <v>-358</v>
      </c>
      <c r="F20" s="131">
        <v>-2181</v>
      </c>
      <c r="G20" s="229">
        <v>-2200</v>
      </c>
      <c r="H20" s="577"/>
      <c r="I20"/>
    </row>
    <row r="21" spans="1:9" s="1" customFormat="1" ht="13.5" thickBot="1">
      <c r="A21" s="62"/>
      <c r="B21" s="46" t="str">
        <f>names!A1758</f>
        <v>Podatek dochodowy (zapłacony)</v>
      </c>
      <c r="C21" s="504">
        <v>-136</v>
      </c>
      <c r="D21" s="504">
        <v>-429</v>
      </c>
      <c r="E21" s="504">
        <v>-415</v>
      </c>
      <c r="F21" s="131">
        <v>-214</v>
      </c>
      <c r="G21" s="229">
        <v>-1194</v>
      </c>
      <c r="H21" s="577"/>
      <c r="I21"/>
    </row>
    <row r="22" spans="1:9" s="1" customFormat="1" ht="13.5" thickBot="1">
      <c r="A22" s="62"/>
      <c r="B22" s="404" t="str">
        <f>names!A1759</f>
        <v>Środki pieniężne netto z/(wykorzystane w) działalności operacyjnej</v>
      </c>
      <c r="C22" s="134">
        <v>3858</v>
      </c>
      <c r="D22" s="134">
        <v>5117</v>
      </c>
      <c r="E22" s="134">
        <v>4286</v>
      </c>
      <c r="F22" s="134">
        <f>35-1</f>
        <v>34</v>
      </c>
      <c r="G22" s="185">
        <v>13295</v>
      </c>
      <c r="H22" s="577"/>
      <c r="I22"/>
    </row>
    <row r="23" spans="1:9" s="1" customFormat="1">
      <c r="A23" s="62"/>
      <c r="B23" s="406" t="str">
        <f>names!A1760</f>
        <v>Przepływy pieniężne z działalności inwestycyjnej</v>
      </c>
      <c r="C23" s="504"/>
      <c r="D23" s="504"/>
      <c r="E23" s="504"/>
      <c r="F23" s="131"/>
      <c r="G23" s="229"/>
      <c r="H23" s="577"/>
      <c r="I23"/>
    </row>
    <row r="24" spans="1:9" s="1" customFormat="1" ht="22.5">
      <c r="A24" s="62"/>
      <c r="B24" s="500" t="str">
        <f>names!A1761</f>
        <v>Nabycie składników rzeczowego majątku trwałego, 
wartości niematerialnych i aktywów z tytułu praw do użytkowania</v>
      </c>
      <c r="C24" s="504">
        <v>-3394</v>
      </c>
      <c r="D24" s="504">
        <v>-2145</v>
      </c>
      <c r="E24" s="504">
        <v>-2023</v>
      </c>
      <c r="F24" s="131">
        <v>-3663</v>
      </c>
      <c r="G24" s="229">
        <v>-11225</v>
      </c>
      <c r="H24" s="577"/>
      <c r="I24"/>
    </row>
    <row r="25" spans="1:9" s="1" customFormat="1">
      <c r="A25" s="62"/>
      <c r="B25" s="500" t="str">
        <f>names!A1762</f>
        <v>Nabycie akcji/udziałów pomniejszone o środki pieniężne</v>
      </c>
      <c r="C25" s="504">
        <v>-210</v>
      </c>
      <c r="D25" s="504">
        <v>-562</v>
      </c>
      <c r="E25" s="504">
        <v>0</v>
      </c>
      <c r="F25" s="131">
        <v>0</v>
      </c>
      <c r="G25" s="229">
        <v>-772</v>
      </c>
      <c r="H25" s="577"/>
      <c r="I25"/>
    </row>
    <row r="26" spans="1:9" s="1" customFormat="1" ht="22.5">
      <c r="A26" s="62"/>
      <c r="B26" s="500" t="str">
        <f>names!A1763</f>
        <v>Sprzedaż składników rzeczowego majątku trwałego, 
wartości niematerialnych i aktywów z tytułu praw do użytkowania</v>
      </c>
      <c r="C26" s="504">
        <v>24</v>
      </c>
      <c r="D26" s="504">
        <v>28</v>
      </c>
      <c r="E26" s="504">
        <v>16</v>
      </c>
      <c r="F26" s="131">
        <v>27</v>
      </c>
      <c r="G26" s="229">
        <v>95</v>
      </c>
      <c r="H26" s="577"/>
      <c r="I26"/>
    </row>
    <row r="27" spans="1:9" s="1" customFormat="1">
      <c r="A27" s="62"/>
      <c r="B27" s="500" t="str">
        <f>names!A1764</f>
        <v>Lokaty krótkoterminowe</v>
      </c>
      <c r="C27" s="504">
        <v>34</v>
      </c>
      <c r="D27" s="504">
        <v>0</v>
      </c>
      <c r="E27" s="504">
        <v>0</v>
      </c>
      <c r="F27" s="131">
        <v>28</v>
      </c>
      <c r="G27" s="229">
        <v>62</v>
      </c>
      <c r="H27" s="577"/>
      <c r="I27"/>
    </row>
    <row r="28" spans="1:9" s="1" customFormat="1">
      <c r="A28" s="62"/>
      <c r="B28" s="500" t="str">
        <f>names!A1765</f>
        <v>Zmiana struktury właścicielskiej w Baltic Power</v>
      </c>
      <c r="C28" s="504">
        <v>-35</v>
      </c>
      <c r="D28" s="504">
        <v>0</v>
      </c>
      <c r="E28" s="504">
        <v>0</v>
      </c>
      <c r="F28" s="131">
        <v>0</v>
      </c>
      <c r="G28" s="229">
        <v>-35</v>
      </c>
      <c r="H28" s="577"/>
      <c r="I28"/>
    </row>
    <row r="29" spans="1:9" s="1" customFormat="1">
      <c r="A29" s="62"/>
      <c r="B29" s="500" t="str">
        <f>names!A1766</f>
        <v>Dywidendy otrzymane</v>
      </c>
      <c r="C29" s="504">
        <v>0</v>
      </c>
      <c r="D29" s="504">
        <v>152</v>
      </c>
      <c r="E29" s="504">
        <v>0</v>
      </c>
      <c r="F29" s="131">
        <v>173</v>
      </c>
      <c r="G29" s="229">
        <v>325</v>
      </c>
      <c r="H29" s="577"/>
      <c r="I29"/>
    </row>
    <row r="30" spans="1:9" s="1" customFormat="1">
      <c r="A30" s="62"/>
      <c r="B30" s="500" t="str">
        <f>names!A1767</f>
        <v>Przepływy netto z tytułu pożyczek</v>
      </c>
      <c r="C30" s="504">
        <v>0</v>
      </c>
      <c r="D30" s="504">
        <v>0</v>
      </c>
      <c r="E30" s="504">
        <v>1</v>
      </c>
      <c r="F30" s="131">
        <v>1</v>
      </c>
      <c r="G30" s="229">
        <v>2</v>
      </c>
      <c r="H30" s="577"/>
      <c r="I30"/>
    </row>
    <row r="31" spans="1:9" s="1" customFormat="1">
      <c r="A31" s="62"/>
      <c r="B31" s="502" t="str">
        <f>names!A1768</f>
        <v>Rozliczenie instrumentów pochodnych niewyznaczonych dla celów rachunkowości zabezpieczeń</v>
      </c>
      <c r="C31" s="504">
        <v>-181</v>
      </c>
      <c r="D31" s="504">
        <f>-349-4</f>
        <v>-353</v>
      </c>
      <c r="E31" s="504">
        <v>-164</v>
      </c>
      <c r="F31" s="131">
        <f>2472+10</f>
        <v>2482</v>
      </c>
      <c r="G31" s="229">
        <v>1784</v>
      </c>
      <c r="H31" s="577"/>
      <c r="I31"/>
    </row>
    <row r="32" spans="1:9" s="1" customFormat="1" ht="13.5" thickBot="1">
      <c r="A32" s="62"/>
      <c r="B32" s="502" t="str">
        <f>names!A1769</f>
        <v>Pozostałe</v>
      </c>
      <c r="C32" s="504">
        <v>16</v>
      </c>
      <c r="D32" s="504">
        <v>1</v>
      </c>
      <c r="E32" s="504">
        <v>-34</v>
      </c>
      <c r="F32" s="131">
        <v>42</v>
      </c>
      <c r="G32" s="229">
        <v>25</v>
      </c>
      <c r="H32" s="577"/>
      <c r="I32"/>
    </row>
    <row r="33" spans="1:9" s="1" customFormat="1" ht="12" customHeight="1" thickBot="1">
      <c r="A33" s="62"/>
      <c r="B33" s="404" t="str">
        <f>names!A1770</f>
        <v>Środki pieniężne netto z/(wykorzystane w) działalności inwestycyjnej</v>
      </c>
      <c r="C33" s="134">
        <v>-3746</v>
      </c>
      <c r="D33" s="134">
        <f>-2875-4</f>
        <v>-2879</v>
      </c>
      <c r="E33" s="134">
        <v>-2204</v>
      </c>
      <c r="F33" s="134">
        <f>-911+1</f>
        <v>-910</v>
      </c>
      <c r="G33" s="185">
        <v>-9739</v>
      </c>
      <c r="H33" s="577"/>
      <c r="I33"/>
    </row>
    <row r="34" spans="1:9" s="1" customFormat="1">
      <c r="A34" s="62"/>
      <c r="B34" s="406" t="str">
        <f>names!A1771</f>
        <v>Przepływy pieniężne z działalności finansowej</v>
      </c>
      <c r="C34" s="135"/>
      <c r="D34" s="135"/>
      <c r="E34" s="135"/>
      <c r="F34" s="135"/>
      <c r="G34" s="232"/>
      <c r="H34" s="577"/>
      <c r="I34"/>
    </row>
    <row r="35" spans="1:9" s="1" customFormat="1">
      <c r="A35" s="62"/>
      <c r="B35" s="502" t="str">
        <f>names!A1772</f>
        <v>Wpływy z otrzymanych kredytów i pożyczek</v>
      </c>
      <c r="C35" s="504">
        <v>4304</v>
      </c>
      <c r="D35" s="504">
        <v>1952</v>
      </c>
      <c r="E35" s="504">
        <v>3138</v>
      </c>
      <c r="F35" s="131">
        <v>4998</v>
      </c>
      <c r="G35" s="229">
        <v>14392</v>
      </c>
      <c r="H35" s="577"/>
      <c r="I35"/>
    </row>
    <row r="36" spans="1:9" s="1" customFormat="1">
      <c r="A36" s="62"/>
      <c r="B36" s="502" t="str">
        <f>names!A1773</f>
        <v>Emisja obligacji</v>
      </c>
      <c r="C36" s="504">
        <v>994</v>
      </c>
      <c r="D36" s="504">
        <v>2231</v>
      </c>
      <c r="E36" s="504">
        <v>0</v>
      </c>
      <c r="F36" s="131">
        <v>0</v>
      </c>
      <c r="G36" s="229">
        <v>3225</v>
      </c>
      <c r="H36" s="577"/>
      <c r="I36"/>
    </row>
    <row r="37" spans="1:9" s="1" customFormat="1">
      <c r="A37" s="62"/>
      <c r="B37" s="503" t="str">
        <f>names!A1774</f>
        <v>Spłaty kredytów i pożyczek</v>
      </c>
      <c r="C37" s="504">
        <v>-4405</v>
      </c>
      <c r="D37" s="504">
        <v>-3007</v>
      </c>
      <c r="E37" s="504">
        <v>-3122</v>
      </c>
      <c r="F37" s="131">
        <v>-4171</v>
      </c>
      <c r="G37" s="229">
        <v>-14705</v>
      </c>
      <c r="H37" s="577"/>
      <c r="I37"/>
    </row>
    <row r="38" spans="1:9" s="1" customFormat="1">
      <c r="A38" s="62"/>
      <c r="B38" s="503" t="str">
        <f>names!A1775</f>
        <v>Wykup obligacji</v>
      </c>
      <c r="C38" s="504">
        <v>0</v>
      </c>
      <c r="D38" s="504">
        <v>-2252</v>
      </c>
      <c r="E38" s="504">
        <v>-200</v>
      </c>
      <c r="F38" s="131">
        <v>0</v>
      </c>
      <c r="G38" s="229">
        <v>-2452</v>
      </c>
      <c r="H38" s="577"/>
      <c r="I38"/>
    </row>
    <row r="39" spans="1:9" s="1" customFormat="1">
      <c r="A39" s="62"/>
      <c r="B39" s="502" t="str">
        <f>names!A1776</f>
        <v>Odsetki zapłacone od kredytów, pożyczek i obligacji</v>
      </c>
      <c r="C39" s="504">
        <v>-31</v>
      </c>
      <c r="D39" s="504">
        <v>-182</v>
      </c>
      <c r="E39" s="504">
        <v>-79</v>
      </c>
      <c r="F39" s="131">
        <v>-26</v>
      </c>
      <c r="G39" s="229">
        <v>-318</v>
      </c>
      <c r="H39" s="577"/>
      <c r="I39"/>
    </row>
    <row r="40" spans="1:9" s="1" customFormat="1">
      <c r="A40" s="62"/>
      <c r="B40" s="502" t="str">
        <f>names!A1777</f>
        <v>Odsetki zapłacone z tytułu leasingu</v>
      </c>
      <c r="C40" s="504">
        <v>-65</v>
      </c>
      <c r="D40" s="504">
        <v>-27</v>
      </c>
      <c r="E40" s="504">
        <v>-27</v>
      </c>
      <c r="F40" s="131">
        <v>-32</v>
      </c>
      <c r="G40" s="229">
        <v>-151</v>
      </c>
      <c r="H40" s="577"/>
      <c r="I40"/>
    </row>
    <row r="41" spans="1:9" s="1" customFormat="1">
      <c r="A41" s="62"/>
      <c r="B41" s="502" t="str">
        <f>names!A1778</f>
        <v>Dywidendy wypłacone</v>
      </c>
      <c r="C41" s="504">
        <v>0</v>
      </c>
      <c r="D41" s="504">
        <v>-1</v>
      </c>
      <c r="E41" s="504">
        <v>-1497</v>
      </c>
      <c r="F41" s="131">
        <v>0</v>
      </c>
      <c r="G41" s="229">
        <v>-1498</v>
      </c>
      <c r="H41" s="577"/>
      <c r="I41"/>
    </row>
    <row r="42" spans="1:9" s="1" customFormat="1">
      <c r="A42" s="62"/>
      <c r="B42" s="405" t="str">
        <f>names!A1779</f>
        <v>Płatności zobowiązań z tytułu umów leasingu</v>
      </c>
      <c r="C42" s="504">
        <v>-209</v>
      </c>
      <c r="D42" s="504">
        <v>-164</v>
      </c>
      <c r="E42" s="504">
        <v>-165</v>
      </c>
      <c r="F42" s="131">
        <v>-163</v>
      </c>
      <c r="G42" s="229">
        <v>-701</v>
      </c>
      <c r="H42" s="577"/>
      <c r="I42"/>
    </row>
    <row r="43" spans="1:9" s="1" customFormat="1">
      <c r="A43" s="62"/>
      <c r="B43" s="405" t="str">
        <f>names!A1780</f>
        <v>Otrzymane dotacje</v>
      </c>
      <c r="C43" s="504">
        <v>0</v>
      </c>
      <c r="D43" s="504">
        <v>0</v>
      </c>
      <c r="E43" s="504">
        <v>89</v>
      </c>
      <c r="F43" s="131">
        <f>154</f>
        <v>154</v>
      </c>
      <c r="G43" s="229">
        <v>243</v>
      </c>
      <c r="H43" s="577"/>
      <c r="I43"/>
    </row>
    <row r="44" spans="1:9" s="1" customFormat="1" ht="13.5" thickBot="1">
      <c r="A44" s="62"/>
      <c r="B44" s="405" t="str">
        <f>names!A1781</f>
        <v>Pozostałe</v>
      </c>
      <c r="C44" s="504">
        <f>-1+4</f>
        <v>3</v>
      </c>
      <c r="D44" s="504">
        <v>0</v>
      </c>
      <c r="E44" s="504">
        <v>-41</v>
      </c>
      <c r="F44" s="131">
        <f>-3</f>
        <v>-3</v>
      </c>
      <c r="G44" s="229">
        <v>-41</v>
      </c>
      <c r="H44" s="577"/>
      <c r="I44"/>
    </row>
    <row r="45" spans="1:9" s="1" customFormat="1" ht="13.5" thickBot="1">
      <c r="A45" s="62"/>
      <c r="B45" s="404" t="str">
        <f>names!A1782</f>
        <v>Środki pieniężne netto z/(wykorzystane w) działalności finansowej</v>
      </c>
      <c r="C45" s="134">
        <v>591</v>
      </c>
      <c r="D45" s="134">
        <v>-1450</v>
      </c>
      <c r="E45" s="134">
        <v>-1904</v>
      </c>
      <c r="F45" s="134">
        <v>757</v>
      </c>
      <c r="G45" s="185">
        <v>-2006</v>
      </c>
      <c r="H45" s="577"/>
      <c r="I45"/>
    </row>
    <row r="46" spans="1:9" s="55" customFormat="1">
      <c r="A46" s="64"/>
      <c r="B46" s="410"/>
      <c r="C46" s="507"/>
      <c r="D46" s="507"/>
      <c r="E46" s="507"/>
      <c r="F46" s="136"/>
      <c r="G46" s="233"/>
      <c r="H46" s="577"/>
      <c r="I46"/>
    </row>
    <row r="47" spans="1:9" s="1" customFormat="1">
      <c r="A47" s="62"/>
      <c r="B47" s="402" t="str">
        <f>names!A1784</f>
        <v>Zwiększenie/(Zmniejszenie) netto stanu środków pieniężnych i ich ekwiwalentów</v>
      </c>
      <c r="C47" s="130">
        <v>703</v>
      </c>
      <c r="D47" s="130">
        <f>792-4</f>
        <v>788</v>
      </c>
      <c r="E47" s="130">
        <v>178</v>
      </c>
      <c r="F47" s="130">
        <v>-119</v>
      </c>
      <c r="G47" s="228">
        <v>1550</v>
      </c>
      <c r="H47" s="577"/>
      <c r="I47"/>
    </row>
    <row r="48" spans="1:9" s="1" customFormat="1">
      <c r="A48" s="123"/>
      <c r="B48" s="407" t="str">
        <f>names!A1785</f>
        <v>Zmiana stanu środków pieniężnych i ich ekwiwalentów z tytułu różnic kursowych</v>
      </c>
      <c r="C48" s="506">
        <v>60</v>
      </c>
      <c r="D48" s="506">
        <v>-16</v>
      </c>
      <c r="E48" s="506">
        <v>5</v>
      </c>
      <c r="F48" s="133">
        <v>57</v>
      </c>
      <c r="G48" s="230">
        <v>106</v>
      </c>
      <c r="H48" s="577"/>
      <c r="I48"/>
    </row>
    <row r="49" spans="1:9" s="1" customFormat="1">
      <c r="A49" s="123"/>
      <c r="B49" s="407" t="str">
        <f>names!A1786</f>
        <v>Środki pieniężne i ich ekwiwalenty na początek okresu</v>
      </c>
      <c r="C49" s="506">
        <v>1240</v>
      </c>
      <c r="D49" s="506">
        <v>2003</v>
      </c>
      <c r="E49" s="506">
        <v>2775</v>
      </c>
      <c r="F49" s="133">
        <v>2958</v>
      </c>
      <c r="G49" s="230">
        <v>1240</v>
      </c>
      <c r="H49" s="577"/>
      <c r="I49"/>
    </row>
    <row r="50" spans="1:9" s="55" customFormat="1" ht="13.5" thickBot="1">
      <c r="A50" s="64"/>
      <c r="B50" s="411"/>
      <c r="C50" s="508"/>
      <c r="D50" s="508"/>
      <c r="E50" s="508"/>
      <c r="F50" s="137"/>
      <c r="G50" s="234"/>
      <c r="H50" s="577"/>
      <c r="I50"/>
    </row>
    <row r="51" spans="1:9" s="1" customFormat="1" ht="13.5" thickBot="1">
      <c r="A51" s="62"/>
      <c r="B51" s="404" t="str">
        <f>names!A1788</f>
        <v>Środki pieniężne i ich ekwiwalenty na koniec okresu</v>
      </c>
      <c r="C51" s="134">
        <v>2003</v>
      </c>
      <c r="D51" s="134">
        <f>2779-4</f>
        <v>2775</v>
      </c>
      <c r="E51" s="134">
        <v>2958</v>
      </c>
      <c r="F51" s="134">
        <v>2896</v>
      </c>
      <c r="G51" s="185">
        <v>2896</v>
      </c>
      <c r="H51" s="577"/>
      <c r="I51"/>
    </row>
    <row r="52" spans="1:9" ht="12" customHeight="1">
      <c r="A52" s="28"/>
      <c r="B52" s="468" t="str">
        <f>names!A1789</f>
        <v>w tym środki pieniężne o ograniczonej możliwości dysponowania</v>
      </c>
      <c r="C52" s="505">
        <v>365</v>
      </c>
      <c r="D52" s="505">
        <v>369</v>
      </c>
      <c r="E52" s="505">
        <v>380</v>
      </c>
      <c r="F52" s="132">
        <v>398</v>
      </c>
      <c r="G52" s="132">
        <v>398</v>
      </c>
      <c r="H52" s="577"/>
    </row>
    <row r="53" spans="1:9" ht="5.25" customHeight="1">
      <c r="A53" s="28"/>
      <c r="C53" s="183"/>
      <c r="D53" s="183"/>
      <c r="E53" s="574"/>
      <c r="F53" s="183"/>
      <c r="G53" s="183"/>
      <c r="H53" s="577"/>
    </row>
    <row r="54" spans="1:9" ht="14.25" customHeight="1">
      <c r="A54" s="28"/>
      <c r="B54" s="474" t="str">
        <f>names!A1791</f>
        <v>*) Dane przekształcone.</v>
      </c>
      <c r="C54"/>
      <c r="D54"/>
      <c r="E54" s="575"/>
      <c r="F54" s="21"/>
      <c r="G54" s="21"/>
      <c r="H54" s="577"/>
    </row>
    <row r="55" spans="1:9">
      <c r="A55" s="28"/>
      <c r="C55" s="21"/>
      <c r="D55" s="21"/>
      <c r="E55" s="21"/>
      <c r="F55" s="21"/>
      <c r="G55" s="21"/>
    </row>
    <row r="56" spans="1:9">
      <c r="A56" s="28"/>
      <c r="B56" s="577"/>
      <c r="C56" s="577"/>
      <c r="D56" s="577"/>
      <c r="E56" s="577"/>
      <c r="F56" s="577"/>
      <c r="G56" s="577"/>
    </row>
    <row r="57" spans="1:9">
      <c r="A57" s="28"/>
      <c r="B57" s="46"/>
      <c r="C57" s="23"/>
      <c r="D57" s="23"/>
      <c r="E57" s="23"/>
      <c r="F57" s="23"/>
      <c r="G57" s="23"/>
    </row>
    <row r="58" spans="1:9">
      <c r="A58" s="28"/>
      <c r="B58" s="46"/>
      <c r="C58" s="23"/>
      <c r="D58" s="23"/>
      <c r="E58" s="23"/>
      <c r="F58" s="23"/>
      <c r="G58" s="23"/>
    </row>
    <row r="59" spans="1:9">
      <c r="A59" s="28"/>
      <c r="B59" s="46"/>
      <c r="C59" s="23"/>
      <c r="D59" s="23"/>
      <c r="E59" s="23"/>
      <c r="F59" s="23"/>
      <c r="G59" s="23"/>
    </row>
    <row r="60" spans="1:9">
      <c r="A60" s="28"/>
      <c r="B60" s="46"/>
      <c r="C60" s="23"/>
      <c r="D60" s="23"/>
      <c r="E60" s="23"/>
      <c r="F60" s="23"/>
      <c r="G60" s="23"/>
    </row>
    <row r="61" spans="1:9">
      <c r="A61" s="28"/>
      <c r="B61" s="46"/>
      <c r="C61" s="23"/>
      <c r="D61" s="23"/>
      <c r="E61" s="23"/>
      <c r="F61" s="23"/>
      <c r="G61" s="23"/>
    </row>
    <row r="62" spans="1:9">
      <c r="A62" s="28"/>
      <c r="B62" s="46"/>
      <c r="C62" s="23"/>
      <c r="D62" s="23"/>
      <c r="E62" s="23"/>
      <c r="F62" s="23"/>
      <c r="G62" s="23"/>
    </row>
    <row r="63" spans="1:9">
      <c r="A63" s="28"/>
      <c r="B63" s="46"/>
      <c r="C63" s="23"/>
      <c r="D63" s="23"/>
      <c r="E63" s="23"/>
      <c r="F63" s="23"/>
      <c r="G63" s="23"/>
    </row>
    <row r="64" spans="1:9">
      <c r="A64" s="28"/>
      <c r="B64" s="46"/>
    </row>
    <row r="65" spans="1:7">
      <c r="A65" s="28"/>
    </row>
    <row r="66" spans="1:7">
      <c r="A66" s="28"/>
    </row>
    <row r="67" spans="1:7">
      <c r="A67" s="28"/>
    </row>
    <row r="68" spans="1:7">
      <c r="A68" s="28"/>
    </row>
    <row r="69" spans="1:7">
      <c r="A69" s="28"/>
    </row>
    <row r="70" spans="1:7">
      <c r="A70" s="28"/>
    </row>
    <row r="71" spans="1:7">
      <c r="A71" s="28"/>
    </row>
    <row r="72" spans="1:7">
      <c r="A72" s="28"/>
    </row>
    <row r="73" spans="1:7">
      <c r="A73" s="28"/>
    </row>
    <row r="74" spans="1:7">
      <c r="A74" s="28"/>
    </row>
    <row r="75" spans="1:7">
      <c r="A75" s="28"/>
    </row>
    <row r="76" spans="1:7">
      <c r="A76" s="28"/>
    </row>
    <row r="77" spans="1:7">
      <c r="A77" s="28"/>
    </row>
    <row r="78" spans="1:7">
      <c r="A78" s="28"/>
    </row>
    <row r="79" spans="1:7" s="13" customFormat="1">
      <c r="A79" s="28"/>
      <c r="C79" s="10"/>
      <c r="D79" s="10"/>
      <c r="E79" s="10"/>
      <c r="F79" s="10"/>
      <c r="G79" s="10"/>
    </row>
    <row r="80" spans="1:7" s="13" customFormat="1">
      <c r="A80" s="28"/>
      <c r="C80" s="10"/>
      <c r="D80" s="10"/>
      <c r="E80" s="10"/>
      <c r="F80" s="10"/>
      <c r="G80" s="10"/>
    </row>
  </sheetData>
  <conditionalFormatting sqref="B56:G56">
    <cfRule type="cellIs" dxfId="19" priority="1" operator="equal">
      <formula>FALSE</formula>
    </cfRule>
  </conditionalFormatting>
  <conditionalFormatting sqref="H2:H54">
    <cfRule type="cellIs" dxfId="18" priority="2" operator="equal">
      <formula>FALSE</formula>
    </cfRule>
  </conditionalFormatting>
  <printOptions horizontalCentered="1"/>
  <pageMargins left="0.47244094488188981" right="0.39370078740157483" top="0.98425196850393704" bottom="0.98425196850393704" header="0.51181102362204722" footer="0.51181102362204722"/>
  <pageSetup paperSize="9" scale="67"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0.34998626667073579"/>
    <pageSetUpPr fitToPage="1"/>
  </sheetPr>
  <dimension ref="A2:I82"/>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88.42578125" style="13" customWidth="1"/>
    <col min="3" max="6" width="8.5703125" style="10" hidden="1" customWidth="1" outlineLevel="1"/>
    <col min="7" max="7" width="10.5703125" style="10" customWidth="1" collapsed="1"/>
  </cols>
  <sheetData>
    <row r="2" spans="1:9" ht="15.75">
      <c r="B2" s="397" t="str">
        <f>names!A1798</f>
        <v>Skonsolidowane sprawozdanie z przepływów pieniężnych</v>
      </c>
      <c r="H2" s="577"/>
    </row>
    <row r="3" spans="1:9" ht="10.15" customHeight="1">
      <c r="H3" s="577"/>
    </row>
    <row r="4" spans="1:9" s="1" customFormat="1" ht="27" customHeight="1">
      <c r="B4" s="15" t="str">
        <f>names!A1800</f>
        <v>Wyszczególnienie, 
mln PLN</v>
      </c>
      <c r="C4" s="15" t="str">
        <f>names!$A159</f>
        <v>I kw. 
2022</v>
      </c>
      <c r="D4" s="15" t="str">
        <f>names!$A160</f>
        <v>II kw. 
2022</v>
      </c>
      <c r="E4" s="15" t="str">
        <f>names!$A161</f>
        <v>III kw. 
2022</v>
      </c>
      <c r="F4" s="15" t="str">
        <f>names!$A162</f>
        <v>IV kw. 
2022</v>
      </c>
      <c r="G4" s="15" t="str">
        <f>names!$A163</f>
        <v>12 m-cy 2022</v>
      </c>
      <c r="H4" s="577"/>
    </row>
    <row r="5" spans="1:9" s="30" customFormat="1" ht="7.15" customHeight="1">
      <c r="B5" s="92"/>
      <c r="C5" s="92"/>
      <c r="D5" s="92"/>
      <c r="E5" s="92"/>
      <c r="F5" s="92"/>
      <c r="G5" s="92"/>
      <c r="H5" s="577"/>
    </row>
    <row r="6" spans="1:9" s="1" customFormat="1" ht="11.25">
      <c r="B6" s="406" t="str">
        <f>names!A1802</f>
        <v>Przepływy pieniężne z działalności operacyjnej</v>
      </c>
      <c r="C6" s="27"/>
      <c r="D6" s="27"/>
      <c r="E6" s="27"/>
      <c r="F6" s="27"/>
      <c r="G6" s="227"/>
      <c r="H6" s="577"/>
    </row>
    <row r="7" spans="1:9" s="1" customFormat="1" ht="11.25">
      <c r="B7" s="402" t="str">
        <f>names!A1803</f>
        <v>Zysk/(Strata) przed opodatkowaniem</v>
      </c>
      <c r="C7" s="130">
        <v>3436</v>
      </c>
      <c r="D7" s="130">
        <v>4996</v>
      </c>
      <c r="E7" s="130">
        <v>16556</v>
      </c>
      <c r="F7" s="130">
        <v>22843</v>
      </c>
      <c r="G7" s="228">
        <v>47831</v>
      </c>
      <c r="H7" s="577"/>
      <c r="I7" s="467"/>
    </row>
    <row r="8" spans="1:9" s="1" customFormat="1" ht="11.25">
      <c r="B8" s="46" t="str">
        <f>names!A1804</f>
        <v>Korekty o pozycje:</v>
      </c>
      <c r="C8" s="504"/>
      <c r="D8" s="504"/>
      <c r="E8" s="504"/>
      <c r="F8" s="504"/>
      <c r="G8" s="633"/>
      <c r="H8" s="577"/>
    </row>
    <row r="9" spans="1:9" s="1" customFormat="1" ht="11.25" customHeight="1">
      <c r="B9" s="405" t="str">
        <f>names!A1805</f>
        <v>Udział w wyniku finansowym jednostek wycenianych metodą praw własności</v>
      </c>
      <c r="C9" s="504">
        <v>-142</v>
      </c>
      <c r="D9" s="504">
        <v>-102</v>
      </c>
      <c r="E9" s="504">
        <v>-36</v>
      </c>
      <c r="F9" s="504">
        <v>-4</v>
      </c>
      <c r="G9" s="633">
        <v>-284</v>
      </c>
      <c r="H9" s="577"/>
    </row>
    <row r="10" spans="1:9" s="1" customFormat="1" ht="11.25">
      <c r="B10" s="405" t="str">
        <f>names!A1806</f>
        <v>Amortyzacja</v>
      </c>
      <c r="C10" s="504">
        <v>1400</v>
      </c>
      <c r="D10" s="504">
        <v>1447</v>
      </c>
      <c r="E10" s="504">
        <v>1549</v>
      </c>
      <c r="F10" s="504">
        <v>3328</v>
      </c>
      <c r="G10" s="633">
        <v>7724</v>
      </c>
      <c r="H10" s="577"/>
    </row>
    <row r="11" spans="1:9" s="1" customFormat="1" ht="11.25">
      <c r="B11" s="405" t="str">
        <f>names!A1807</f>
        <v>(Zysk)/Strata z tytułu różnic kursowych</v>
      </c>
      <c r="C11" s="504">
        <v>-20</v>
      </c>
      <c r="D11" s="504">
        <v>-3</v>
      </c>
      <c r="E11" s="504">
        <v>298</v>
      </c>
      <c r="F11" s="504">
        <v>-453</v>
      </c>
      <c r="G11" s="633">
        <v>-178</v>
      </c>
      <c r="H11" s="577"/>
    </row>
    <row r="12" spans="1:9" s="1" customFormat="1" ht="11.25">
      <c r="B12" s="405" t="str">
        <f>names!A1808</f>
        <v>Odsetki netto</v>
      </c>
      <c r="C12" s="504">
        <v>134</v>
      </c>
      <c r="D12" s="504">
        <v>138</v>
      </c>
      <c r="E12" s="504">
        <v>168</v>
      </c>
      <c r="F12" s="504">
        <v>258</v>
      </c>
      <c r="G12" s="633">
        <v>698</v>
      </c>
      <c r="H12" s="577"/>
    </row>
    <row r="13" spans="1:9" s="1" customFormat="1" ht="11.25">
      <c r="B13" s="405" t="str">
        <f>names!A1809</f>
        <v>Dywidendy</v>
      </c>
      <c r="C13" s="504">
        <v>0</v>
      </c>
      <c r="D13" s="504">
        <v>0</v>
      </c>
      <c r="E13" s="504">
        <v>0</v>
      </c>
      <c r="F13" s="504">
        <v>0</v>
      </c>
      <c r="G13" s="633">
        <v>0</v>
      </c>
      <c r="H13" s="577"/>
    </row>
    <row r="14" spans="1:9" s="1" customFormat="1" ht="11.25">
      <c r="B14" s="405" t="str">
        <f>names!A1810</f>
        <v>(Zysk)/Strata na działalności inwestycyjnej</v>
      </c>
      <c r="C14" s="504">
        <v>23</v>
      </c>
      <c r="D14" s="504">
        <v>2811</v>
      </c>
      <c r="E14" s="504">
        <v>-4826</v>
      </c>
      <c r="F14" s="504">
        <v>-6921</v>
      </c>
      <c r="G14" s="633">
        <v>-8913</v>
      </c>
      <c r="H14" s="577"/>
    </row>
    <row r="15" spans="1:9" s="1" customFormat="1" ht="11.25">
      <c r="A15" s="62"/>
      <c r="B15" s="509" t="str">
        <f>names!A1811</f>
        <v xml:space="preserve">Zmiana stanu rezerw </v>
      </c>
      <c r="C15" s="510">
        <v>1727</v>
      </c>
      <c r="D15" s="510">
        <v>1939</v>
      </c>
      <c r="E15" s="510">
        <v>1685</v>
      </c>
      <c r="F15" s="510">
        <v>4097</v>
      </c>
      <c r="G15" s="634">
        <v>9448</v>
      </c>
      <c r="H15" s="577"/>
    </row>
    <row r="16" spans="1:9" s="1" customFormat="1" ht="11.25">
      <c r="A16" s="62"/>
      <c r="B16" s="407" t="str">
        <f>names!A1812</f>
        <v>Zmiana stanu kapitału pracującego</v>
      </c>
      <c r="C16" s="506">
        <v>-4513</v>
      </c>
      <c r="D16" s="506">
        <v>-2599</v>
      </c>
      <c r="E16" s="506">
        <v>-1289</v>
      </c>
      <c r="F16" s="506">
        <v>-7118</v>
      </c>
      <c r="G16" s="635">
        <v>-15519</v>
      </c>
      <c r="H16" s="577"/>
    </row>
    <row r="17" spans="1:8" s="26" customFormat="1" ht="11.25">
      <c r="A17" s="453"/>
      <c r="B17" s="408" t="str">
        <f>names!A1813</f>
        <v>zapasy</v>
      </c>
      <c r="C17" s="505">
        <v>-5049</v>
      </c>
      <c r="D17" s="505">
        <v>-2792</v>
      </c>
      <c r="E17" s="505">
        <v>2998</v>
      </c>
      <c r="F17" s="505">
        <v>-609</v>
      </c>
      <c r="G17" s="636">
        <v>-5452</v>
      </c>
      <c r="H17" s="577"/>
    </row>
    <row r="18" spans="1:8" s="26" customFormat="1" ht="11.25">
      <c r="A18" s="453"/>
      <c r="B18" s="408" t="str">
        <f>names!A1814</f>
        <v>należności</v>
      </c>
      <c r="C18" s="505">
        <v>-3666</v>
      </c>
      <c r="D18" s="505">
        <v>-848</v>
      </c>
      <c r="E18" s="505">
        <v>-3452</v>
      </c>
      <c r="F18" s="505">
        <v>-3664</v>
      </c>
      <c r="G18" s="636">
        <v>-11630</v>
      </c>
      <c r="H18" s="577"/>
    </row>
    <row r="19" spans="1:8" s="26" customFormat="1" ht="11.25">
      <c r="A19" s="453"/>
      <c r="B19" s="408" t="str">
        <f>names!A1815</f>
        <v>zobowiązania</v>
      </c>
      <c r="C19" s="505">
        <v>4202</v>
      </c>
      <c r="D19" s="505">
        <v>1041</v>
      </c>
      <c r="E19" s="505">
        <v>-835</v>
      </c>
      <c r="F19" s="505">
        <v>-2845</v>
      </c>
      <c r="G19" s="636">
        <v>1563</v>
      </c>
      <c r="H19" s="577"/>
    </row>
    <row r="20" spans="1:8" s="1" customFormat="1" ht="11.25">
      <c r="A20" s="62"/>
      <c r="B20" s="405" t="str">
        <f>names!A1816</f>
        <v>Pozostałe korekty</v>
      </c>
      <c r="C20" s="504">
        <v>-587</v>
      </c>
      <c r="D20" s="504">
        <v>-224</v>
      </c>
      <c r="E20" s="504">
        <v>-5186</v>
      </c>
      <c r="F20" s="504">
        <v>2881</v>
      </c>
      <c r="G20" s="633">
        <v>-3116</v>
      </c>
      <c r="H20" s="577"/>
    </row>
    <row r="21" spans="1:8" s="1" customFormat="1" ht="12" thickBot="1">
      <c r="A21" s="62"/>
      <c r="B21" s="46" t="str">
        <f>names!A1817</f>
        <v>Podatek dochodowy (zapłacony)</v>
      </c>
      <c r="C21" s="504">
        <v>-860</v>
      </c>
      <c r="D21" s="504">
        <v>-472</v>
      </c>
      <c r="E21" s="504">
        <v>-399</v>
      </c>
      <c r="F21" s="504">
        <v>-3322</v>
      </c>
      <c r="G21" s="633">
        <v>-5053</v>
      </c>
      <c r="H21" s="577"/>
    </row>
    <row r="22" spans="1:8" s="1" customFormat="1" ht="12" thickBot="1">
      <c r="A22" s="62"/>
      <c r="B22" s="404" t="str">
        <f>names!A1818</f>
        <v>Środki pieniężne netto z/(wykorzystane w) działalności operacyjnej</v>
      </c>
      <c r="C22" s="134">
        <v>598</v>
      </c>
      <c r="D22" s="134">
        <v>7931</v>
      </c>
      <c r="E22" s="134">
        <v>8520</v>
      </c>
      <c r="F22" s="134">
        <v>15589</v>
      </c>
      <c r="G22" s="185">
        <v>32638</v>
      </c>
      <c r="H22" s="577"/>
    </row>
    <row r="23" spans="1:8" s="1" customFormat="1" ht="11.25">
      <c r="A23" s="62"/>
      <c r="B23" s="406" t="str">
        <f>names!A1819</f>
        <v>Przepływy pieniężne z działalności inwestycyjnej</v>
      </c>
      <c r="C23" s="504"/>
      <c r="D23" s="504"/>
      <c r="E23" s="504"/>
      <c r="F23" s="504"/>
      <c r="G23" s="633"/>
      <c r="H23" s="577"/>
    </row>
    <row r="24" spans="1:8" s="1" customFormat="1" ht="22.5">
      <c r="A24" s="62"/>
      <c r="B24" s="500" t="str">
        <f>names!A1820</f>
        <v>Nabycie składników rzeczowego majątku trwałego, 
wartości niematerialnych i aktywów z tytułu praw do użytkowania</v>
      </c>
      <c r="C24" s="504">
        <v>-3463</v>
      </c>
      <c r="D24" s="504">
        <v>-3767</v>
      </c>
      <c r="E24" s="504">
        <v>-4331</v>
      </c>
      <c r="F24" s="504">
        <v>-8675</v>
      </c>
      <c r="G24" s="633">
        <v>-20236</v>
      </c>
      <c r="H24" s="577"/>
    </row>
    <row r="25" spans="1:8" s="1" customFormat="1" ht="11.25">
      <c r="A25" s="62"/>
      <c r="B25" s="500" t="str">
        <f>names!A1821</f>
        <v>Nabycie akcji/udziałów pomniejszone o środki pieniężne</v>
      </c>
      <c r="C25" s="504">
        <v>0</v>
      </c>
      <c r="D25" s="504">
        <v>0</v>
      </c>
      <c r="E25" s="504">
        <v>0</v>
      </c>
      <c r="F25" s="504">
        <v>0</v>
      </c>
      <c r="G25" s="633">
        <v>0</v>
      </c>
      <c r="H25" s="577"/>
    </row>
    <row r="26" spans="1:8" s="1" customFormat="1" ht="22.5">
      <c r="A26" s="62"/>
      <c r="B26" s="500" t="str">
        <f>names!A1822</f>
        <v>Wpływy ze sprzedaży akcji/udziałów w związku z realizacją Środków Zaradczych oraz zbycia 30% udziałów w Rafinerii Gdańskiej</v>
      </c>
      <c r="C26" s="504">
        <v>0</v>
      </c>
      <c r="D26" s="504">
        <v>0</v>
      </c>
      <c r="E26" s="504">
        <v>0</v>
      </c>
      <c r="F26" s="504">
        <v>4579</v>
      </c>
      <c r="G26" s="633">
        <v>4579</v>
      </c>
      <c r="H26" s="577"/>
    </row>
    <row r="27" spans="1:8" s="1" customFormat="1" ht="11.25">
      <c r="A27" s="62"/>
      <c r="B27" s="500" t="str">
        <f>names!A1823</f>
        <v>Nabycie aktywów finansowych w ORLEN VC</v>
      </c>
      <c r="C27" s="504">
        <v>0</v>
      </c>
      <c r="D27" s="504">
        <v>-18</v>
      </c>
      <c r="E27" s="504">
        <v>-17</v>
      </c>
      <c r="F27" s="504">
        <v>-37</v>
      </c>
      <c r="G27" s="633">
        <v>-72</v>
      </c>
      <c r="H27" s="577"/>
    </row>
    <row r="28" spans="1:8" s="1" customFormat="1" ht="22.5">
      <c r="A28" s="62"/>
      <c r="B28" s="500" t="str">
        <f>names!A1824</f>
        <v>Sprzedaż składników rzeczowego majątku trwałego, 
wartości niematerialnych i aktywów z tytułu praw do użytkowania</v>
      </c>
      <c r="C28" s="504">
        <v>7</v>
      </c>
      <c r="D28" s="504">
        <v>21</v>
      </c>
      <c r="E28" s="504">
        <v>32</v>
      </c>
      <c r="F28" s="504">
        <v>43</v>
      </c>
      <c r="G28" s="633">
        <v>103</v>
      </c>
      <c r="H28" s="577"/>
    </row>
    <row r="29" spans="1:8" s="1" customFormat="1" ht="11.25">
      <c r="A29" s="62"/>
      <c r="B29" s="500" t="str">
        <f>names!A1825</f>
        <v>Lokaty krótkoterminowe</v>
      </c>
      <c r="C29" s="504">
        <v>-7</v>
      </c>
      <c r="D29" s="504">
        <v>-8</v>
      </c>
      <c r="E29" s="504">
        <v>-34</v>
      </c>
      <c r="F29" s="504">
        <v>49</v>
      </c>
      <c r="G29" s="633">
        <v>0</v>
      </c>
      <c r="H29" s="577"/>
    </row>
    <row r="30" spans="1:8" s="1" customFormat="1" ht="11.25">
      <c r="A30" s="62"/>
      <c r="B30" s="500" t="str">
        <f>names!A1826</f>
        <v>Dywidendy otrzymane</v>
      </c>
      <c r="C30" s="504">
        <v>0</v>
      </c>
      <c r="D30" s="504">
        <v>190</v>
      </c>
      <c r="E30" s="504">
        <v>191</v>
      </c>
      <c r="F30" s="504">
        <v>70</v>
      </c>
      <c r="G30" s="633">
        <v>451</v>
      </c>
      <c r="H30" s="577"/>
    </row>
    <row r="31" spans="1:8" s="1" customFormat="1" ht="11.25">
      <c r="A31" s="62"/>
      <c r="B31" s="500" t="str">
        <f>names!A1827</f>
        <v>Wpływy/(Wydatki) netto z tytułu pożyczek</v>
      </c>
      <c r="C31" s="504">
        <v>0</v>
      </c>
      <c r="D31" s="504">
        <v>0</v>
      </c>
      <c r="E31" s="504">
        <v>0</v>
      </c>
      <c r="F31" s="504">
        <v>27</v>
      </c>
      <c r="G31" s="633">
        <v>27</v>
      </c>
      <c r="H31" s="577"/>
    </row>
    <row r="32" spans="1:8" s="1" customFormat="1" ht="11.25">
      <c r="A32" s="62"/>
      <c r="B32" s="500" t="str">
        <f>names!A1828</f>
        <v>Środki pieniężne na dzień ustalenia wspólnego działania w Rafinerii Gdańskiej</v>
      </c>
      <c r="C32" s="504">
        <v>0</v>
      </c>
      <c r="D32" s="504">
        <v>0</v>
      </c>
      <c r="E32" s="504">
        <v>0</v>
      </c>
      <c r="F32" s="504">
        <v>375</v>
      </c>
      <c r="G32" s="633">
        <v>375</v>
      </c>
      <c r="H32" s="577"/>
    </row>
    <row r="33" spans="1:8" s="1" customFormat="1" ht="11.25">
      <c r="A33" s="62"/>
      <c r="B33" s="502" t="str">
        <f>names!A1829</f>
        <v>Środki pieniężne w nabytych spółkach Grupy LOTOS na dzień połączenia</v>
      </c>
      <c r="C33" s="504">
        <v>0</v>
      </c>
      <c r="D33" s="504">
        <v>0</v>
      </c>
      <c r="E33" s="504">
        <v>4350</v>
      </c>
      <c r="F33" s="504">
        <v>38</v>
      </c>
      <c r="G33" s="633">
        <v>4388</v>
      </c>
      <c r="H33" s="577"/>
    </row>
    <row r="34" spans="1:8" s="1" customFormat="1" ht="11.25">
      <c r="A34" s="62"/>
      <c r="B34" s="502" t="str">
        <f>names!A1830</f>
        <v>Środki pieniężne w nabytych spółkach Grupy Kapitałowej PGNiG na dzień połączenia</v>
      </c>
      <c r="C34" s="504">
        <v>0</v>
      </c>
      <c r="D34" s="504">
        <v>0</v>
      </c>
      <c r="E34" s="504">
        <v>0</v>
      </c>
      <c r="F34" s="504">
        <v>11540</v>
      </c>
      <c r="G34" s="633">
        <v>11540</v>
      </c>
      <c r="H34" s="577"/>
    </row>
    <row r="35" spans="1:8" s="1" customFormat="1" ht="12" thickBot="1">
      <c r="A35" s="62"/>
      <c r="B35" s="502" t="str">
        <f>names!A1831</f>
        <v>Pozostałe</v>
      </c>
      <c r="C35" s="504">
        <v>13</v>
      </c>
      <c r="D35" s="504">
        <v>22</v>
      </c>
      <c r="E35" s="504">
        <v>-200</v>
      </c>
      <c r="F35" s="504">
        <v>-755</v>
      </c>
      <c r="G35" s="633">
        <v>-920</v>
      </c>
      <c r="H35" s="577"/>
    </row>
    <row r="36" spans="1:8" s="1" customFormat="1" ht="12" customHeight="1" thickBot="1">
      <c r="A36" s="62"/>
      <c r="B36" s="404" t="str">
        <f>names!A1832</f>
        <v>Środki pieniężne netto z/(wykorzystane w) działalności inwestycyjnej</v>
      </c>
      <c r="C36" s="134">
        <v>-3450</v>
      </c>
      <c r="D36" s="134">
        <v>-3560</v>
      </c>
      <c r="E36" s="134">
        <v>-9</v>
      </c>
      <c r="F36" s="134">
        <v>7254</v>
      </c>
      <c r="G36" s="185">
        <v>235</v>
      </c>
      <c r="H36" s="577"/>
    </row>
    <row r="37" spans="1:8" s="1" customFormat="1" ht="11.25">
      <c r="A37" s="62"/>
      <c r="B37" s="406" t="str">
        <f>names!A1833</f>
        <v>Przepływy pieniężne z działalności finansowej</v>
      </c>
      <c r="C37" s="135"/>
      <c r="D37" s="135"/>
      <c r="E37" s="135"/>
      <c r="F37" s="135"/>
      <c r="G37" s="232"/>
      <c r="H37" s="577"/>
    </row>
    <row r="38" spans="1:8" s="1" customFormat="1" ht="11.25">
      <c r="A38" s="62"/>
      <c r="B38" s="502" t="str">
        <f>names!A1834</f>
        <v>Wpływy z otrzymanych kredytów i pożyczek</v>
      </c>
      <c r="C38" s="504">
        <v>8835</v>
      </c>
      <c r="D38" s="504">
        <v>163</v>
      </c>
      <c r="E38" s="504">
        <v>924</v>
      </c>
      <c r="F38" s="504">
        <v>1853</v>
      </c>
      <c r="G38" s="633">
        <v>11775</v>
      </c>
      <c r="H38" s="577"/>
    </row>
    <row r="39" spans="1:8" s="1" customFormat="1" ht="11.25">
      <c r="A39" s="62"/>
      <c r="B39" s="503" t="str">
        <f>names!A1835</f>
        <v>Spłaty kredytów i pożyczek</v>
      </c>
      <c r="C39" s="504">
        <v>-5466</v>
      </c>
      <c r="D39" s="504">
        <v>-3798</v>
      </c>
      <c r="E39" s="504">
        <v>-493</v>
      </c>
      <c r="F39" s="504">
        <v>-12616</v>
      </c>
      <c r="G39" s="633">
        <v>-22373</v>
      </c>
      <c r="H39" s="577"/>
    </row>
    <row r="40" spans="1:8" s="1" customFormat="1" ht="11.25">
      <c r="A40" s="62"/>
      <c r="B40" s="503" t="str">
        <f>names!A1836</f>
        <v>Wykup obligacji</v>
      </c>
      <c r="C40" s="504">
        <v>0</v>
      </c>
      <c r="D40" s="504">
        <v>-400</v>
      </c>
      <c r="E40" s="504">
        <v>-226</v>
      </c>
      <c r="F40" s="504">
        <v>-200</v>
      </c>
      <c r="G40" s="633">
        <v>-826</v>
      </c>
      <c r="H40" s="577"/>
    </row>
    <row r="41" spans="1:8" s="1" customFormat="1" ht="11.25">
      <c r="A41" s="62"/>
      <c r="B41" s="502" t="str">
        <f>names!A1837</f>
        <v>Odsetki zapłacone od kredytów, pożyczek i obligacji</v>
      </c>
      <c r="C41" s="504">
        <v>-75</v>
      </c>
      <c r="D41" s="504">
        <v>-191</v>
      </c>
      <c r="E41" s="504">
        <v>-125</v>
      </c>
      <c r="F41" s="504">
        <v>-262</v>
      </c>
      <c r="G41" s="633">
        <v>-653</v>
      </c>
      <c r="H41" s="577"/>
    </row>
    <row r="42" spans="1:8" s="1" customFormat="1" ht="11.25">
      <c r="A42" s="62"/>
      <c r="B42" s="502" t="str">
        <f>names!A1838</f>
        <v>Odsetki zapłacone z tytułu leasingu</v>
      </c>
      <c r="C42" s="504">
        <v>-68</v>
      </c>
      <c r="D42" s="504">
        <v>-32</v>
      </c>
      <c r="E42" s="504">
        <v>-43</v>
      </c>
      <c r="F42" s="504">
        <v>-68</v>
      </c>
      <c r="G42" s="633">
        <v>-211</v>
      </c>
      <c r="H42" s="577"/>
    </row>
    <row r="43" spans="1:8" s="1" customFormat="1" ht="11.25">
      <c r="A43" s="62"/>
      <c r="B43" s="502" t="str">
        <f>names!A1839</f>
        <v>Dywidendy wypłacone</v>
      </c>
      <c r="C43" s="504">
        <v>0</v>
      </c>
      <c r="D43" s="504">
        <v>0</v>
      </c>
      <c r="E43" s="504">
        <v>0</v>
      </c>
      <c r="F43" s="504">
        <v>-1500</v>
      </c>
      <c r="G43" s="633">
        <v>-1500</v>
      </c>
      <c r="H43" s="577"/>
    </row>
    <row r="44" spans="1:8" s="1" customFormat="1" ht="11.25">
      <c r="A44" s="62"/>
      <c r="B44" s="405" t="str">
        <f>names!A1840</f>
        <v>Płatności zobowiązań z tytułu umów leasingu</v>
      </c>
      <c r="C44" s="504">
        <v>-231</v>
      </c>
      <c r="D44" s="504">
        <v>-167</v>
      </c>
      <c r="E44" s="504">
        <v>-219</v>
      </c>
      <c r="F44" s="504">
        <v>-276</v>
      </c>
      <c r="G44" s="633">
        <v>-893</v>
      </c>
      <c r="H44" s="577"/>
    </row>
    <row r="45" spans="1:8" s="1" customFormat="1" ht="11.25">
      <c r="A45" s="62"/>
      <c r="B45" s="405" t="str">
        <f>names!A1841</f>
        <v>Otrzymane dotacje</v>
      </c>
      <c r="C45" s="504">
        <v>8</v>
      </c>
      <c r="D45" s="504">
        <v>30</v>
      </c>
      <c r="E45" s="504">
        <v>20</v>
      </c>
      <c r="F45" s="504">
        <v>95</v>
      </c>
      <c r="G45" s="633">
        <v>153</v>
      </c>
      <c r="H45" s="577"/>
    </row>
    <row r="46" spans="1:8" s="1" customFormat="1" ht="12" thickBot="1">
      <c r="A46" s="62"/>
      <c r="B46" s="405" t="str">
        <f>names!A1842</f>
        <v>Pozostałe</v>
      </c>
      <c r="C46" s="504">
        <v>-8</v>
      </c>
      <c r="D46" s="504">
        <v>-14</v>
      </c>
      <c r="E46" s="504">
        <v>-18</v>
      </c>
      <c r="F46" s="504">
        <v>-2</v>
      </c>
      <c r="G46" s="633">
        <v>-42</v>
      </c>
      <c r="H46" s="577"/>
    </row>
    <row r="47" spans="1:8" s="1" customFormat="1" ht="12" thickBot="1">
      <c r="A47" s="62"/>
      <c r="B47" s="404" t="str">
        <f>names!A1843</f>
        <v>Środki pieniężne netto z/(wykorzystane w) działalności finansowej</v>
      </c>
      <c r="C47" s="134">
        <v>2995</v>
      </c>
      <c r="D47" s="134">
        <v>-4409</v>
      </c>
      <c r="E47" s="134">
        <v>-180</v>
      </c>
      <c r="F47" s="134">
        <v>-12976</v>
      </c>
      <c r="G47" s="185">
        <v>-14570</v>
      </c>
      <c r="H47" s="577"/>
    </row>
    <row r="48" spans="1:8" s="55" customFormat="1" ht="11.25">
      <c r="A48" s="64"/>
      <c r="B48" s="410"/>
      <c r="C48" s="507"/>
      <c r="D48" s="507"/>
      <c r="E48" s="507"/>
      <c r="F48" s="507"/>
      <c r="G48" s="637"/>
      <c r="H48" s="577"/>
    </row>
    <row r="49" spans="1:9" s="1" customFormat="1" ht="11.25">
      <c r="A49" s="62"/>
      <c r="B49" s="402" t="str">
        <f>names!A1845</f>
        <v>Zwiększenie/(Zmniejszenie) netto stanu środków pieniężnych</v>
      </c>
      <c r="C49" s="130">
        <v>143</v>
      </c>
      <c r="D49" s="130">
        <v>-38</v>
      </c>
      <c r="E49" s="130">
        <v>8331</v>
      </c>
      <c r="F49" s="130">
        <v>9867</v>
      </c>
      <c r="G49" s="228">
        <v>18303</v>
      </c>
      <c r="H49" s="577"/>
    </row>
    <row r="50" spans="1:9" s="1" customFormat="1" ht="11.25">
      <c r="A50" s="123"/>
      <c r="B50" s="407" t="str">
        <f>names!A1846</f>
        <v>Zmiana stanu środków pieniężnych i ich ekwiwalentów z tytułu różnic kursowych</v>
      </c>
      <c r="C50" s="506">
        <v>30</v>
      </c>
      <c r="D50" s="506">
        <v>15</v>
      </c>
      <c r="E50" s="506">
        <v>78</v>
      </c>
      <c r="F50" s="506">
        <v>-276</v>
      </c>
      <c r="G50" s="635">
        <v>-153</v>
      </c>
      <c r="H50" s="577"/>
    </row>
    <row r="51" spans="1:9" s="1" customFormat="1" ht="11.25">
      <c r="A51" s="123"/>
      <c r="B51" s="407" t="str">
        <f>names!A1847</f>
        <v>Środki pieniężne i ich ekwiwalenty na początek okresu</v>
      </c>
      <c r="C51" s="506">
        <v>2896</v>
      </c>
      <c r="D51" s="506">
        <v>3069</v>
      </c>
      <c r="E51" s="506">
        <v>3046</v>
      </c>
      <c r="F51" s="506">
        <v>11455</v>
      </c>
      <c r="G51" s="635">
        <v>2896</v>
      </c>
      <c r="H51" s="577"/>
      <c r="I51" s="467"/>
    </row>
    <row r="52" spans="1:9" s="55" customFormat="1" ht="12" thickBot="1">
      <c r="A52" s="64"/>
      <c r="B52" s="411"/>
      <c r="C52" s="508"/>
      <c r="D52" s="508"/>
      <c r="E52" s="508"/>
      <c r="F52" s="508"/>
      <c r="G52" s="638"/>
      <c r="H52" s="577"/>
    </row>
    <row r="53" spans="1:9" s="1" customFormat="1" ht="12" thickBot="1">
      <c r="A53" s="62"/>
      <c r="B53" s="404" t="str">
        <f>names!A1849</f>
        <v>Środki pieniężne na koniec okresu</v>
      </c>
      <c r="C53" s="134">
        <v>3069</v>
      </c>
      <c r="D53" s="134">
        <v>3046</v>
      </c>
      <c r="E53" s="134">
        <v>11455</v>
      </c>
      <c r="F53" s="134">
        <v>21046</v>
      </c>
      <c r="G53" s="185">
        <v>21046</v>
      </c>
      <c r="H53" s="577"/>
    </row>
    <row r="54" spans="1:9" ht="12" customHeight="1">
      <c r="A54" s="28"/>
      <c r="B54" s="468" t="str">
        <f>names!A1850</f>
        <v>w tym środki pieniężne o ograniczonej możliwości dysponowania</v>
      </c>
      <c r="C54" s="505">
        <v>314</v>
      </c>
      <c r="D54" s="505">
        <v>375</v>
      </c>
      <c r="E54" s="505">
        <v>613</v>
      </c>
      <c r="F54" s="505">
        <v>1863</v>
      </c>
      <c r="G54" s="505">
        <v>1863</v>
      </c>
      <c r="H54" s="577"/>
      <c r="I54" s="370"/>
    </row>
    <row r="55" spans="1:9" ht="5.25" customHeight="1">
      <c r="A55" s="28"/>
      <c r="C55" s="183"/>
      <c r="D55" s="183"/>
      <c r="E55" s="183"/>
      <c r="F55" s="183"/>
      <c r="G55" s="183"/>
      <c r="H55" s="577"/>
    </row>
    <row r="56" spans="1:9" ht="14.25" customHeight="1">
      <c r="A56" s="28"/>
      <c r="B56" s="474"/>
      <c r="C56"/>
      <c r="D56"/>
      <c r="E56" s="21"/>
      <c r="F56" s="21"/>
      <c r="G56" s="21"/>
      <c r="H56" s="577"/>
      <c r="I56" s="526"/>
    </row>
    <row r="57" spans="1:9">
      <c r="A57" s="28"/>
      <c r="C57" s="21"/>
      <c r="D57" s="21"/>
      <c r="E57" s="21"/>
      <c r="F57" s="21"/>
      <c r="G57" s="21"/>
    </row>
    <row r="58" spans="1:9">
      <c r="A58" s="28"/>
      <c r="B58" s="577"/>
      <c r="C58" s="577"/>
      <c r="D58" s="577"/>
      <c r="E58" s="577"/>
      <c r="F58" s="577"/>
      <c r="G58" s="577"/>
    </row>
    <row r="59" spans="1:9">
      <c r="A59" s="28"/>
      <c r="B59" s="46"/>
      <c r="C59" s="23"/>
      <c r="D59" s="23"/>
      <c r="E59" s="23"/>
      <c r="F59" s="23"/>
      <c r="G59" s="23"/>
    </row>
    <row r="60" spans="1:9">
      <c r="A60" s="28"/>
      <c r="B60" s="46"/>
      <c r="C60" s="23"/>
      <c r="D60" s="23"/>
      <c r="E60" s="23"/>
      <c r="F60" s="23"/>
      <c r="G60" s="23"/>
    </row>
    <row r="61" spans="1:9">
      <c r="A61" s="28"/>
      <c r="B61" s="46"/>
      <c r="C61" s="23"/>
      <c r="D61" s="23"/>
      <c r="E61" s="23"/>
      <c r="F61" s="23"/>
      <c r="G61" s="23"/>
    </row>
    <row r="62" spans="1:9">
      <c r="A62" s="28"/>
      <c r="B62" s="46"/>
      <c r="C62" s="23"/>
      <c r="D62" s="23"/>
      <c r="E62" s="23"/>
      <c r="F62" s="23"/>
      <c r="G62" s="23"/>
    </row>
    <row r="63" spans="1:9">
      <c r="A63" s="28"/>
      <c r="B63" s="46"/>
      <c r="C63" s="23"/>
      <c r="D63" s="23"/>
      <c r="E63" s="23"/>
      <c r="F63" s="23"/>
      <c r="G63" s="23"/>
    </row>
    <row r="64" spans="1:9">
      <c r="A64" s="28"/>
      <c r="B64" s="46"/>
      <c r="C64" s="23"/>
      <c r="D64" s="23"/>
      <c r="E64" s="23"/>
      <c r="F64" s="23"/>
      <c r="G64" s="23"/>
    </row>
    <row r="65" spans="1:7">
      <c r="A65" s="28"/>
      <c r="B65" s="46"/>
      <c r="C65" s="23"/>
      <c r="D65" s="23"/>
      <c r="E65" s="23"/>
      <c r="F65" s="23"/>
      <c r="G65" s="23"/>
    </row>
    <row r="66" spans="1:7">
      <c r="A66" s="28"/>
      <c r="B66" s="46"/>
    </row>
    <row r="67" spans="1:7">
      <c r="A67" s="28"/>
    </row>
    <row r="68" spans="1:7">
      <c r="A68" s="28"/>
    </row>
    <row r="69" spans="1:7">
      <c r="A69" s="28"/>
    </row>
    <row r="70" spans="1:7">
      <c r="A70" s="28"/>
    </row>
    <row r="71" spans="1:7">
      <c r="A71" s="28"/>
    </row>
    <row r="72" spans="1:7">
      <c r="A72" s="28"/>
    </row>
    <row r="73" spans="1:7">
      <c r="A73" s="28"/>
    </row>
    <row r="74" spans="1:7">
      <c r="A74" s="28"/>
    </row>
    <row r="75" spans="1:7">
      <c r="A75" s="28"/>
    </row>
    <row r="76" spans="1:7">
      <c r="A76" s="28"/>
    </row>
    <row r="77" spans="1:7">
      <c r="A77" s="28"/>
    </row>
    <row r="78" spans="1:7">
      <c r="A78" s="28"/>
    </row>
    <row r="79" spans="1:7">
      <c r="A79" s="28"/>
    </row>
    <row r="80" spans="1:7">
      <c r="A80" s="28"/>
    </row>
    <row r="81" spans="1:7" s="13" customFormat="1">
      <c r="A81" s="28"/>
      <c r="C81" s="10"/>
      <c r="D81" s="10"/>
      <c r="E81" s="10"/>
      <c r="F81" s="10"/>
      <c r="G81" s="10"/>
    </row>
    <row r="82" spans="1:7" s="13" customFormat="1">
      <c r="A82" s="28"/>
      <c r="C82" s="10"/>
      <c r="D82" s="10"/>
      <c r="E82" s="10"/>
      <c r="F82" s="10"/>
      <c r="G82" s="10"/>
    </row>
  </sheetData>
  <conditionalFormatting sqref="B58:G58">
    <cfRule type="cellIs" dxfId="17" priority="2" operator="equal">
      <formula>FALSE</formula>
    </cfRule>
  </conditionalFormatting>
  <conditionalFormatting sqref="H2:H56">
    <cfRule type="cellIs" dxfId="16"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6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tint="-0.34998626667073579"/>
    <pageSetUpPr fitToPage="1"/>
  </sheetPr>
  <dimension ref="A2:I87"/>
  <sheetViews>
    <sheetView showGridLines="0" view="pageBreakPreview" zoomScaleNormal="100" zoomScaleSheetLayoutView="100" workbookViewId="0">
      <pane xSplit="2" ySplit="4" topLeftCell="C17" activePane="bottomRight" state="frozen"/>
      <selection activeCell="B7" sqref="B7"/>
      <selection pane="topRight" activeCell="B7" sqref="B7"/>
      <selection pane="bottomLeft" activeCell="B7" sqref="B7"/>
      <selection pane="bottomRight" activeCell="B4" sqref="B4:B58"/>
    </sheetView>
  </sheetViews>
  <sheetFormatPr defaultColWidth="9.28515625" defaultRowHeight="12.75" outlineLevelCol="1"/>
  <cols>
    <col min="1" max="1" width="1.28515625" customWidth="1"/>
    <col min="2" max="2" width="88.42578125" style="13" customWidth="1"/>
    <col min="3" max="6" width="8.5703125" style="10" hidden="1" customWidth="1" outlineLevel="1"/>
    <col min="7" max="7" width="10" style="10" customWidth="1" collapsed="1"/>
  </cols>
  <sheetData>
    <row r="2" spans="1:9" ht="15.75">
      <c r="B2" s="397" t="str">
        <f>names!A1852</f>
        <v>Skonsolidowane sprawozdanie z przepływów pieniężnych</v>
      </c>
      <c r="H2" s="577"/>
    </row>
    <row r="3" spans="1:9" ht="10.15" customHeight="1">
      <c r="H3" s="577"/>
    </row>
    <row r="4" spans="1:9" s="1" customFormat="1" ht="30" customHeight="1">
      <c r="B4" s="15" t="str">
        <f>names!A1854</f>
        <v>Wyszczególnienie, 
mln PLN</v>
      </c>
      <c r="C4" s="15" t="str">
        <f>names!$A164</f>
        <v>I kw. 
2023</v>
      </c>
      <c r="D4" s="15" t="str">
        <f>names!$A165</f>
        <v>II kw. 
2023</v>
      </c>
      <c r="E4" s="15" t="str">
        <f>names!$A166</f>
        <v>III kw. 
2023</v>
      </c>
      <c r="F4" s="15" t="str">
        <f>names!$A167</f>
        <v>IV kw. 
2023</v>
      </c>
      <c r="G4" s="15" t="str">
        <f>names!$A168</f>
        <v>12 m-cy 2023</v>
      </c>
      <c r="H4" s="577"/>
    </row>
    <row r="5" spans="1:9" s="30" customFormat="1" ht="7.15" customHeight="1">
      <c r="B5" s="92"/>
      <c r="C5" s="92"/>
      <c r="D5" s="92"/>
      <c r="E5" s="92"/>
      <c r="F5" s="92"/>
      <c r="G5" s="92"/>
      <c r="H5" s="577"/>
    </row>
    <row r="6" spans="1:9" s="1" customFormat="1" ht="11.25">
      <c r="B6" s="406" t="str">
        <f>names!A1856</f>
        <v>Przepływy pieniężne z działalności operacyjnej</v>
      </c>
      <c r="C6" s="27"/>
      <c r="D6" s="27"/>
      <c r="E6" s="27"/>
      <c r="F6" s="27"/>
      <c r="G6" s="227"/>
      <c r="H6" s="577"/>
    </row>
    <row r="7" spans="1:9" s="1" customFormat="1" ht="11.25">
      <c r="B7" s="402" t="str">
        <f>names!A1857</f>
        <v>Zysk/(Strata) przed opodatkowaniem</v>
      </c>
      <c r="C7" s="130">
        <v>13486</v>
      </c>
      <c r="D7" s="130">
        <v>8081</v>
      </c>
      <c r="E7" s="130">
        <v>6456</v>
      </c>
      <c r="F7" s="130">
        <v>2540</v>
      </c>
      <c r="G7" s="228">
        <v>30563</v>
      </c>
      <c r="H7" s="577"/>
      <c r="I7" s="467"/>
    </row>
    <row r="8" spans="1:9" s="1" customFormat="1" ht="11.25">
      <c r="B8" s="46" t="str">
        <f>names!A1858</f>
        <v>Korekty o pozycje:</v>
      </c>
      <c r="C8" s="504"/>
      <c r="D8" s="504"/>
      <c r="E8" s="504"/>
      <c r="F8" s="504"/>
      <c r="G8" s="633"/>
      <c r="H8" s="577"/>
    </row>
    <row r="9" spans="1:9" s="1" customFormat="1" ht="11.25" customHeight="1">
      <c r="B9" s="405" t="str">
        <f>names!A1859</f>
        <v>Udział w wyniku finansowym jednostek wycenianych metodą praw własności</v>
      </c>
      <c r="C9" s="504">
        <v>1</v>
      </c>
      <c r="D9" s="504">
        <v>110</v>
      </c>
      <c r="E9" s="504">
        <v>862</v>
      </c>
      <c r="F9" s="504">
        <v>644</v>
      </c>
      <c r="G9" s="633">
        <v>1617</v>
      </c>
      <c r="H9" s="577"/>
    </row>
    <row r="10" spans="1:9" s="1" customFormat="1" ht="11.25">
      <c r="B10" s="405" t="str">
        <f>names!A1860</f>
        <v>Amortyzacja</v>
      </c>
      <c r="C10" s="504">
        <v>3822</v>
      </c>
      <c r="D10" s="504">
        <v>3375</v>
      </c>
      <c r="E10" s="504">
        <v>3401</v>
      </c>
      <c r="F10" s="504">
        <v>3595</v>
      </c>
      <c r="G10" s="633">
        <v>14193</v>
      </c>
      <c r="H10" s="577"/>
    </row>
    <row r="11" spans="1:9" s="1" customFormat="1" ht="11.25">
      <c r="B11" s="405" t="str">
        <f>names!A1861</f>
        <v>(Zysk)/Strata z tytułu różnic kursowych</v>
      </c>
      <c r="C11" s="504">
        <v>-220</v>
      </c>
      <c r="D11" s="504">
        <v>-291</v>
      </c>
      <c r="E11" s="504">
        <v>220</v>
      </c>
      <c r="F11" s="504">
        <v>-447</v>
      </c>
      <c r="G11" s="633">
        <v>-738</v>
      </c>
      <c r="H11" s="577"/>
    </row>
    <row r="12" spans="1:9" s="1" customFormat="1" ht="11.25">
      <c r="B12" s="405" t="str">
        <f>names!A1862</f>
        <v>Odsetki netto i dywidendy</v>
      </c>
      <c r="C12" s="504">
        <v>111</v>
      </c>
      <c r="D12" s="504">
        <v>8</v>
      </c>
      <c r="E12" s="504">
        <v>74</v>
      </c>
      <c r="F12" s="504">
        <v>57</v>
      </c>
      <c r="G12" s="633">
        <v>250</v>
      </c>
      <c r="H12" s="577"/>
    </row>
    <row r="13" spans="1:9" s="1" customFormat="1" ht="11.25">
      <c r="B13" s="405" t="str">
        <f>names!A1863</f>
        <v>(Zysk)/Strata na działalności inwestycyjnej</v>
      </c>
      <c r="C13" s="504">
        <v>2255</v>
      </c>
      <c r="D13" s="504">
        <v>168</v>
      </c>
      <c r="E13" s="504">
        <v>-84</v>
      </c>
      <c r="F13" s="504">
        <v>13833</v>
      </c>
      <c r="G13" s="633">
        <v>16172</v>
      </c>
      <c r="H13" s="577"/>
    </row>
    <row r="14" spans="1:9" s="1" customFormat="1" ht="11.25">
      <c r="A14" s="62"/>
      <c r="B14" s="509" t="str">
        <f>names!A1864</f>
        <v xml:space="preserve">Zmiana stanu rezerw </v>
      </c>
      <c r="C14" s="510">
        <v>3162</v>
      </c>
      <c r="D14" s="510">
        <v>1439</v>
      </c>
      <c r="E14" s="510">
        <v>1696</v>
      </c>
      <c r="F14" s="510">
        <v>3277</v>
      </c>
      <c r="G14" s="634">
        <v>9574</v>
      </c>
      <c r="H14" s="577"/>
    </row>
    <row r="15" spans="1:9" s="1" customFormat="1" ht="11.25">
      <c r="A15" s="62"/>
      <c r="B15" s="407" t="str">
        <f>names!A1865</f>
        <v>Zmiana stanu kapitału pracującego</v>
      </c>
      <c r="C15" s="506">
        <v>5583</v>
      </c>
      <c r="D15" s="506">
        <v>8146</v>
      </c>
      <c r="E15" s="506">
        <v>-1524</v>
      </c>
      <c r="F15" s="506">
        <v>-3946</v>
      </c>
      <c r="G15" s="635">
        <v>6523</v>
      </c>
      <c r="H15" s="577"/>
    </row>
    <row r="16" spans="1:9" s="26" customFormat="1" ht="11.25">
      <c r="A16" s="453"/>
      <c r="B16" s="408" t="str">
        <f>names!A1866</f>
        <v>zapasy</v>
      </c>
      <c r="C16" s="505">
        <v>9230</v>
      </c>
      <c r="D16" s="505">
        <v>3230</v>
      </c>
      <c r="E16" s="505">
        <v>-4243</v>
      </c>
      <c r="F16" s="505">
        <v>2405</v>
      </c>
      <c r="G16" s="636">
        <v>8886</v>
      </c>
      <c r="H16" s="577"/>
    </row>
    <row r="17" spans="1:8" s="26" customFormat="1" ht="11.25">
      <c r="A17" s="453"/>
      <c r="B17" s="408" t="str">
        <f>names!A1867</f>
        <v>należności</v>
      </c>
      <c r="C17" s="505">
        <v>-4913</v>
      </c>
      <c r="D17" s="505">
        <v>8324</v>
      </c>
      <c r="E17" s="505">
        <v>326</v>
      </c>
      <c r="F17" s="505">
        <v>-6938</v>
      </c>
      <c r="G17" s="636">
        <v>-3201</v>
      </c>
      <c r="H17" s="577"/>
    </row>
    <row r="18" spans="1:8" s="26" customFormat="1" ht="11.25">
      <c r="A18" s="453"/>
      <c r="B18" s="408" t="str">
        <f>names!A1868</f>
        <v>zobowiązania</v>
      </c>
      <c r="C18" s="505">
        <v>1266</v>
      </c>
      <c r="D18" s="505">
        <v>-3408</v>
      </c>
      <c r="E18" s="505">
        <v>2393</v>
      </c>
      <c r="F18" s="505">
        <v>587</v>
      </c>
      <c r="G18" s="636">
        <v>838</v>
      </c>
      <c r="H18" s="577"/>
    </row>
    <row r="19" spans="1:8" s="1" customFormat="1" ht="11.25">
      <c r="A19" s="62"/>
      <c r="B19" s="405" t="str">
        <f>names!A1869</f>
        <v>Pozostałe korekty, w tym:</v>
      </c>
      <c r="C19" s="504">
        <v>-523</v>
      </c>
      <c r="D19" s="504">
        <v>-3976</v>
      </c>
      <c r="E19" s="504">
        <v>-4057</v>
      </c>
      <c r="F19" s="504">
        <v>-12822</v>
      </c>
      <c r="G19" s="633">
        <v>-19642</v>
      </c>
      <c r="H19" s="577"/>
    </row>
    <row r="20" spans="1:8" s="26" customFormat="1" ht="11.25">
      <c r="A20" s="453"/>
      <c r="B20" s="408" t="str">
        <f>names!A1870</f>
        <v>rozliczenie dotacji na prawa majątkowe</v>
      </c>
      <c r="C20" s="505">
        <v>-961</v>
      </c>
      <c r="D20" s="505">
        <v>-1141</v>
      </c>
      <c r="E20" s="505">
        <v>-1006</v>
      </c>
      <c r="F20" s="505">
        <v>-1133</v>
      </c>
      <c r="G20" s="636">
        <v>-4241</v>
      </c>
      <c r="H20" s="577"/>
    </row>
    <row r="21" spans="1:8" s="26" customFormat="1" ht="11.25">
      <c r="A21" s="453"/>
      <c r="B21" s="408" t="str">
        <f>names!A1871</f>
        <v>depozyty zabezpieczające</v>
      </c>
      <c r="C21" s="505">
        <v>4918</v>
      </c>
      <c r="D21" s="505">
        <v>2280</v>
      </c>
      <c r="E21" s="505">
        <v>-159</v>
      </c>
      <c r="F21" s="505">
        <v>1572</v>
      </c>
      <c r="G21" s="636">
        <v>8611</v>
      </c>
      <c r="H21" s="577"/>
    </row>
    <row r="22" spans="1:8" s="26" customFormat="1" ht="11.25">
      <c r="A22" s="453"/>
      <c r="B22" s="408" t="str">
        <f>names!A1872</f>
        <v>instrumenty pochodne</v>
      </c>
      <c r="C22" s="505">
        <v>-2039</v>
      </c>
      <c r="D22" s="505">
        <v>-3701</v>
      </c>
      <c r="E22" s="505">
        <v>-1101</v>
      </c>
      <c r="F22" s="505">
        <v>-9518</v>
      </c>
      <c r="G22" s="636">
        <v>-843</v>
      </c>
      <c r="H22" s="577"/>
    </row>
    <row r="23" spans="1:8" s="26" customFormat="1" ht="11.25">
      <c r="A23" s="453"/>
      <c r="B23" s="408" t="str">
        <f>names!A1873</f>
        <v>zmiana stanu aktywów i zobowiązań z tytułu kontraktów wycenionych na moment rozliczenia połączenia jednostek</v>
      </c>
      <c r="C23" s="505">
        <v>-2788</v>
      </c>
      <c r="D23" s="505">
        <v>-1369</v>
      </c>
      <c r="E23" s="505">
        <v>-542</v>
      </c>
      <c r="F23" s="505">
        <v>-2471</v>
      </c>
      <c r="G23" s="636">
        <v>-8466</v>
      </c>
      <c r="H23" s="577"/>
    </row>
    <row r="24" spans="1:8" s="1" customFormat="1" ht="12" thickBot="1">
      <c r="A24" s="62"/>
      <c r="B24" s="46" t="str">
        <f>names!A1874</f>
        <v>Podatek dochodowy (zapłacony)</v>
      </c>
      <c r="C24" s="504">
        <v>-4077</v>
      </c>
      <c r="D24" s="504">
        <v>-9921</v>
      </c>
      <c r="E24" s="504">
        <v>-999</v>
      </c>
      <c r="F24" s="504">
        <v>-1601</v>
      </c>
      <c r="G24" s="633">
        <v>-16598</v>
      </c>
      <c r="H24" s="577"/>
    </row>
    <row r="25" spans="1:8" s="1" customFormat="1" ht="12" thickBot="1">
      <c r="A25" s="62"/>
      <c r="B25" s="404" t="str">
        <f>names!A1875</f>
        <v>Środki pieniężne netto z/(wykorzystane w) działalności operacyjnej</v>
      </c>
      <c r="C25" s="134">
        <v>23600</v>
      </c>
      <c r="D25" s="134">
        <v>7139</v>
      </c>
      <c r="E25" s="134">
        <v>6045</v>
      </c>
      <c r="F25" s="134">
        <v>5130</v>
      </c>
      <c r="G25" s="185">
        <v>41914</v>
      </c>
      <c r="H25" s="577"/>
    </row>
    <row r="26" spans="1:8" s="1" customFormat="1" ht="11.25">
      <c r="A26" s="62"/>
      <c r="B26" s="406" t="str">
        <f>names!A1876</f>
        <v>Przepływy pieniężne z działalności inwestycyjnej</v>
      </c>
      <c r="C26" s="504"/>
      <c r="D26" s="504"/>
      <c r="E26" s="504"/>
      <c r="F26" s="504"/>
      <c r="G26" s="633"/>
      <c r="H26" s="577"/>
    </row>
    <row r="27" spans="1:8" s="1" customFormat="1" ht="22.5">
      <c r="A27" s="62"/>
      <c r="B27" s="500" t="str">
        <f>names!A1877</f>
        <v>Nabycie składników rzeczowego majątku trwałego, 
wartości niematerialnych i aktywów z tytułu praw do użytkowania</v>
      </c>
      <c r="C27" s="504">
        <v>-9659</v>
      </c>
      <c r="D27" s="504">
        <v>-7648</v>
      </c>
      <c r="E27" s="504">
        <v>-9226</v>
      </c>
      <c r="F27" s="504">
        <v>-9654</v>
      </c>
      <c r="G27" s="633">
        <v>-36187</v>
      </c>
      <c r="H27" s="577"/>
    </row>
    <row r="28" spans="1:8" s="1" customFormat="1" ht="11.25">
      <c r="A28" s="62"/>
      <c r="B28" s="500" t="str">
        <f>names!A1878</f>
        <v>Wpływy ze sprzedaży akcji/udziałów w związku z realizacją Środków Zaradczych</v>
      </c>
      <c r="C28" s="504">
        <v>0</v>
      </c>
      <c r="D28" s="504">
        <v>340</v>
      </c>
      <c r="E28" s="504">
        <v>0</v>
      </c>
      <c r="F28" s="504">
        <v>0</v>
      </c>
      <c r="G28" s="633">
        <v>340</v>
      </c>
      <c r="H28" s="577"/>
    </row>
    <row r="29" spans="1:8" s="1" customFormat="1" ht="11.25">
      <c r="A29" s="62"/>
      <c r="B29" s="500" t="str">
        <f>names!A1879</f>
        <v>Nabycie aktywów finansowych w ORLEN VC</v>
      </c>
      <c r="C29" s="504">
        <v>0</v>
      </c>
      <c r="D29" s="504">
        <v>-15</v>
      </c>
      <c r="E29" s="504">
        <v>0</v>
      </c>
      <c r="F29" s="504">
        <v>0</v>
      </c>
      <c r="G29" s="633">
        <v>0</v>
      </c>
      <c r="H29" s="577"/>
    </row>
    <row r="30" spans="1:8" s="1" customFormat="1" ht="22.5">
      <c r="A30" s="62"/>
      <c r="B30" s="500" t="str">
        <f>names!A1880</f>
        <v>Sprzedaż składników rzeczowego majątku trwałego, 
wartości niematerialnych i aktywów z tytułu praw do użytkowania</v>
      </c>
      <c r="C30" s="504">
        <v>52</v>
      </c>
      <c r="D30" s="504">
        <v>97</v>
      </c>
      <c r="E30" s="504">
        <v>60</v>
      </c>
      <c r="F30" s="504">
        <v>909</v>
      </c>
      <c r="G30" s="633">
        <v>1118</v>
      </c>
      <c r="H30" s="577"/>
    </row>
    <row r="31" spans="1:8" s="1" customFormat="1" ht="11.25">
      <c r="A31" s="62"/>
      <c r="B31" s="500" t="str">
        <f>names!A1881</f>
        <v>Lokaty krótkoterminowe</v>
      </c>
      <c r="C31" s="504">
        <v>0</v>
      </c>
      <c r="D31" s="504">
        <v>0</v>
      </c>
      <c r="E31" s="504">
        <v>0</v>
      </c>
      <c r="F31" s="504">
        <v>0</v>
      </c>
      <c r="G31" s="633">
        <v>0</v>
      </c>
      <c r="H31" s="577"/>
    </row>
    <row r="32" spans="1:8" s="1" customFormat="1" ht="11.25">
      <c r="A32" s="62"/>
      <c r="B32" s="500" t="str">
        <f>names!A1882</f>
        <v>Nabycie obligacji</v>
      </c>
      <c r="C32" s="504">
        <v>-3055</v>
      </c>
      <c r="D32" s="504">
        <v>2070</v>
      </c>
      <c r="E32" s="504">
        <v>47</v>
      </c>
      <c r="F32" s="504">
        <v>878</v>
      </c>
      <c r="G32" s="633">
        <v>-60</v>
      </c>
      <c r="H32" s="577"/>
    </row>
    <row r="33" spans="1:8" s="1" customFormat="1" ht="11.25">
      <c r="A33" s="62"/>
      <c r="B33" s="500" t="str">
        <f>names!A1883</f>
        <v>Nabycie aktywów petrochemicznych pomniejszone o środki pieniężne</v>
      </c>
      <c r="C33" s="504">
        <v>-218</v>
      </c>
      <c r="D33" s="504">
        <v>4</v>
      </c>
      <c r="E33" s="504">
        <v>0</v>
      </c>
      <c r="F33" s="504">
        <v>0</v>
      </c>
      <c r="G33" s="633">
        <v>-214</v>
      </c>
      <c r="H33" s="577"/>
    </row>
    <row r="34" spans="1:8" s="1" customFormat="1" ht="11.25">
      <c r="A34" s="62"/>
      <c r="B34" s="500" t="str">
        <f>names!A1884</f>
        <v>Dokapitalizowanie w inwestycjach we wspólne przedsięwzięcia</v>
      </c>
      <c r="C34" s="504">
        <v>-521</v>
      </c>
      <c r="D34" s="504">
        <v>0</v>
      </c>
      <c r="E34" s="504">
        <v>-621</v>
      </c>
      <c r="F34" s="504">
        <v>0</v>
      </c>
      <c r="G34" s="633">
        <v>-1147</v>
      </c>
      <c r="H34" s="577"/>
    </row>
    <row r="35" spans="1:8" s="1" customFormat="1" ht="11.25">
      <c r="A35" s="62"/>
      <c r="B35" s="500" t="str">
        <f>names!A1885</f>
        <v>Odsetki otrzymane</v>
      </c>
      <c r="C35" s="504">
        <v>27</v>
      </c>
      <c r="D35" s="504">
        <v>103</v>
      </c>
      <c r="E35" s="504">
        <v>19</v>
      </c>
      <c r="F35" s="504">
        <v>41</v>
      </c>
      <c r="G35" s="633">
        <v>190</v>
      </c>
      <c r="H35" s="577"/>
    </row>
    <row r="36" spans="1:8" s="1" customFormat="1" ht="11.25">
      <c r="A36" s="62"/>
      <c r="B36" s="500" t="str">
        <f>names!A1886</f>
        <v>Dywidendy otrzymane</v>
      </c>
      <c r="C36" s="504">
        <v>0</v>
      </c>
      <c r="D36" s="504">
        <v>100</v>
      </c>
      <c r="E36" s="504">
        <v>8</v>
      </c>
      <c r="F36" s="504">
        <v>11</v>
      </c>
      <c r="G36" s="633">
        <v>119</v>
      </c>
      <c r="H36" s="577"/>
    </row>
    <row r="37" spans="1:8" s="1" customFormat="1" ht="11.25">
      <c r="A37" s="62"/>
      <c r="B37" s="502" t="str">
        <f>names!A1887</f>
        <v>Wpływy netto z tytułu pożyczek</v>
      </c>
      <c r="C37" s="504">
        <v>8</v>
      </c>
      <c r="D37" s="504">
        <v>17</v>
      </c>
      <c r="E37" s="504">
        <v>-634</v>
      </c>
      <c r="F37" s="504">
        <v>-380</v>
      </c>
      <c r="G37" s="633">
        <v>-1028</v>
      </c>
      <c r="H37" s="577"/>
    </row>
    <row r="38" spans="1:8" s="1" customFormat="1" ht="11.25">
      <c r="A38" s="62"/>
      <c r="B38" s="502" t="str">
        <f>names!A1888</f>
        <v>Nabycie akcji i udziałów pomniejszone o środki pieniężne</v>
      </c>
      <c r="C38" s="504">
        <v>31</v>
      </c>
      <c r="D38" s="504">
        <v>0</v>
      </c>
      <c r="E38" s="504">
        <v>-133</v>
      </c>
      <c r="F38" s="504">
        <v>-2547</v>
      </c>
      <c r="G38" s="633">
        <v>-2657</v>
      </c>
      <c r="H38" s="577"/>
    </row>
    <row r="39" spans="1:8" s="1" customFormat="1" ht="12" thickBot="1">
      <c r="A39" s="62"/>
      <c r="B39" s="502" t="str">
        <f>names!A1889</f>
        <v>Pozostałe</v>
      </c>
      <c r="C39" s="504">
        <v>-31</v>
      </c>
      <c r="D39" s="504">
        <f>12+3</f>
        <v>15</v>
      </c>
      <c r="E39" s="504">
        <v>-19</v>
      </c>
      <c r="F39" s="504">
        <v>3115</v>
      </c>
      <c r="G39" s="633">
        <v>3117</v>
      </c>
      <c r="H39" s="577"/>
    </row>
    <row r="40" spans="1:8" s="1" customFormat="1" ht="12" customHeight="1" thickBot="1">
      <c r="A40" s="62"/>
      <c r="B40" s="404" t="str">
        <f>names!A1890</f>
        <v>Środki pieniężne netto z/(wykorzystane w) działalności inwestycyjnej</v>
      </c>
      <c r="C40" s="134">
        <v>-13366</v>
      </c>
      <c r="D40" s="134">
        <v>-4917</v>
      </c>
      <c r="E40" s="134">
        <v>-10499</v>
      </c>
      <c r="F40" s="134">
        <v>-7627</v>
      </c>
      <c r="G40" s="185">
        <v>-36409</v>
      </c>
      <c r="H40" s="577"/>
    </row>
    <row r="41" spans="1:8" s="1" customFormat="1" ht="11.25">
      <c r="A41" s="62"/>
      <c r="B41" s="406" t="str">
        <f>names!A1891</f>
        <v>Przepływy pieniężne z działalności finansowej</v>
      </c>
      <c r="C41" s="135"/>
      <c r="D41" s="135"/>
      <c r="E41" s="135"/>
      <c r="F41" s="135"/>
      <c r="G41" s="232"/>
      <c r="H41" s="577"/>
    </row>
    <row r="42" spans="1:8" s="1" customFormat="1" ht="11.25">
      <c r="A42" s="62"/>
      <c r="B42" s="502" t="str">
        <f>names!A1892</f>
        <v>Wpływy z otrzymanych kredytów i pożyczek</v>
      </c>
      <c r="C42" s="504">
        <v>2065</v>
      </c>
      <c r="D42" s="504">
        <v>91</v>
      </c>
      <c r="E42" s="504">
        <v>99</v>
      </c>
      <c r="F42" s="504">
        <v>5551</v>
      </c>
      <c r="G42" s="633">
        <v>7771</v>
      </c>
      <c r="H42" s="577"/>
    </row>
    <row r="43" spans="1:8" s="1" customFormat="1" ht="11.25">
      <c r="A43" s="62"/>
      <c r="B43" s="502" t="str">
        <f>names!A1893</f>
        <v>Emisja obligacji</v>
      </c>
      <c r="C43" s="504">
        <v>0</v>
      </c>
      <c r="D43" s="504">
        <v>0</v>
      </c>
      <c r="E43" s="504">
        <v>2183</v>
      </c>
      <c r="F43" s="504">
        <v>0</v>
      </c>
      <c r="G43" s="633">
        <v>2183</v>
      </c>
      <c r="H43" s="577"/>
    </row>
    <row r="44" spans="1:8" s="1" customFormat="1" ht="11.25">
      <c r="A44" s="62"/>
      <c r="B44" s="503" t="str">
        <f>names!A1894</f>
        <v>Spłaty kredytów i pożyczek</v>
      </c>
      <c r="C44" s="504">
        <v>-3998</v>
      </c>
      <c r="D44" s="504">
        <v>-2380</v>
      </c>
      <c r="E44" s="504">
        <v>-694</v>
      </c>
      <c r="F44" s="504">
        <v>-2235</v>
      </c>
      <c r="G44" s="633">
        <v>-9272</v>
      </c>
      <c r="H44" s="577"/>
    </row>
    <row r="45" spans="1:8" s="1" customFormat="1" ht="11.25">
      <c r="A45" s="62"/>
      <c r="B45" s="503" t="str">
        <f>names!A1895</f>
        <v>Wykup obligacji</v>
      </c>
      <c r="C45" s="504">
        <v>-51</v>
      </c>
      <c r="D45" s="504">
        <v>-3370</v>
      </c>
      <c r="E45" s="504">
        <v>-578</v>
      </c>
      <c r="F45" s="504">
        <v>-24</v>
      </c>
      <c r="G45" s="633">
        <v>-4023</v>
      </c>
      <c r="H45" s="577"/>
    </row>
    <row r="46" spans="1:8" s="1" customFormat="1" ht="11.25">
      <c r="A46" s="62"/>
      <c r="B46" s="502" t="str">
        <f>names!A1896</f>
        <v>Odsetki zapłacone od kredytów, pożyczek i obligacji</v>
      </c>
      <c r="C46" s="504">
        <v>-161</v>
      </c>
      <c r="D46" s="504">
        <v>-217</v>
      </c>
      <c r="E46" s="504">
        <v>-135</v>
      </c>
      <c r="F46" s="504">
        <v>-165</v>
      </c>
      <c r="G46" s="633">
        <v>-678</v>
      </c>
      <c r="H46" s="577"/>
    </row>
    <row r="47" spans="1:8" s="1" customFormat="1" ht="11.25">
      <c r="A47" s="62"/>
      <c r="B47" s="502" t="str">
        <f>names!A1897</f>
        <v>Odsetki zapłacone z tytułu leasingu</v>
      </c>
      <c r="C47" s="504">
        <v>-118</v>
      </c>
      <c r="D47" s="504">
        <v>-80</v>
      </c>
      <c r="E47" s="504">
        <v>-79</v>
      </c>
      <c r="F47" s="504">
        <v>-93</v>
      </c>
      <c r="G47" s="633">
        <v>-370</v>
      </c>
      <c r="H47" s="577"/>
    </row>
    <row r="48" spans="1:8" s="1" customFormat="1" ht="11.25">
      <c r="A48" s="62"/>
      <c r="B48" s="502" t="str">
        <f>names!A1898</f>
        <v>Dywidendy wypłacone</v>
      </c>
      <c r="C48" s="504">
        <v>0</v>
      </c>
      <c r="D48" s="504">
        <v>0</v>
      </c>
      <c r="E48" s="504">
        <v>-6385</v>
      </c>
      <c r="F48" s="504">
        <v>0</v>
      </c>
      <c r="G48" s="633">
        <v>-6385</v>
      </c>
      <c r="H48" s="577"/>
    </row>
    <row r="49" spans="1:9" s="1" customFormat="1" ht="11.25">
      <c r="A49" s="62"/>
      <c r="B49" s="405" t="str">
        <f>names!A1899</f>
        <v>Płatności zobowiązań z tytułu umów leasingu</v>
      </c>
      <c r="C49" s="504">
        <v>-447</v>
      </c>
      <c r="D49" s="504">
        <v>-440</v>
      </c>
      <c r="E49" s="504">
        <v>-254</v>
      </c>
      <c r="F49" s="504">
        <v>-310</v>
      </c>
      <c r="G49" s="633">
        <v>-1451</v>
      </c>
      <c r="H49" s="577"/>
    </row>
    <row r="50" spans="1:9" s="1" customFormat="1" ht="11.25">
      <c r="A50" s="62"/>
      <c r="B50" s="405" t="str">
        <f>names!A1900</f>
        <v>Otrzymane dotacje</v>
      </c>
      <c r="C50" s="504">
        <v>42</v>
      </c>
      <c r="D50" s="504">
        <v>42</v>
      </c>
      <c r="E50" s="504">
        <v>17</v>
      </c>
      <c r="F50" s="504">
        <v>277</v>
      </c>
      <c r="G50" s="633">
        <v>378</v>
      </c>
      <c r="H50" s="577"/>
    </row>
    <row r="51" spans="1:9" s="1" customFormat="1" ht="12" thickBot="1">
      <c r="A51" s="62"/>
      <c r="B51" s="405" t="str">
        <f>names!A1901</f>
        <v>Pozostałe</v>
      </c>
      <c r="C51" s="504">
        <v>-67</v>
      </c>
      <c r="D51" s="504">
        <v>-54</v>
      </c>
      <c r="E51" s="504">
        <v>-38</v>
      </c>
      <c r="F51" s="504">
        <v>-51</v>
      </c>
      <c r="G51" s="633">
        <v>-210</v>
      </c>
      <c r="H51" s="577"/>
    </row>
    <row r="52" spans="1:9" s="1" customFormat="1" ht="12" thickBot="1">
      <c r="A52" s="62"/>
      <c r="B52" s="404" t="str">
        <f>names!A1902</f>
        <v>Środki pieniężne netto z/(wykorzystane w) działalności finansowej</v>
      </c>
      <c r="C52" s="134">
        <v>-2735</v>
      </c>
      <c r="D52" s="134">
        <v>-6408</v>
      </c>
      <c r="E52" s="134">
        <v>-5864</v>
      </c>
      <c r="F52" s="134">
        <v>2950</v>
      </c>
      <c r="G52" s="185">
        <v>-12057</v>
      </c>
      <c r="H52" s="577"/>
    </row>
    <row r="53" spans="1:9" s="55" customFormat="1" ht="11.25">
      <c r="A53" s="64"/>
      <c r="B53" s="410"/>
      <c r="C53" s="507"/>
      <c r="D53" s="507"/>
      <c r="E53" s="507"/>
      <c r="F53" s="507"/>
      <c r="G53" s="637"/>
      <c r="H53" s="577"/>
    </row>
    <row r="54" spans="1:9" s="1" customFormat="1" ht="11.25">
      <c r="A54" s="62"/>
      <c r="B54" s="402" t="str">
        <f>names!A1904</f>
        <v>Zwiększenie/(Zmniejszenie) netto stanu środków pieniężnych</v>
      </c>
      <c r="C54" s="130">
        <v>7499</v>
      </c>
      <c r="D54" s="130">
        <v>-4186</v>
      </c>
      <c r="E54" s="130">
        <v>-10318</v>
      </c>
      <c r="F54" s="130">
        <v>453</v>
      </c>
      <c r="G54" s="228">
        <v>-6552</v>
      </c>
      <c r="H54" s="577"/>
    </row>
    <row r="55" spans="1:9" s="1" customFormat="1" ht="11.25">
      <c r="A55" s="123"/>
      <c r="B55" s="407" t="str">
        <f>names!A1905</f>
        <v>Zmiana stanu środków pieniężnych i ich ekwiwalentów z tytułu różnic kursowych</v>
      </c>
      <c r="C55" s="506">
        <v>-187</v>
      </c>
      <c r="D55" s="506">
        <v>-885</v>
      </c>
      <c r="E55" s="506">
        <v>365</v>
      </c>
      <c r="F55" s="506">
        <v>-505</v>
      </c>
      <c r="G55" s="635">
        <v>-1212</v>
      </c>
      <c r="H55" s="577"/>
    </row>
    <row r="56" spans="1:9" s="1" customFormat="1" ht="11.25">
      <c r="A56" s="123"/>
      <c r="B56" s="407" t="str">
        <f>names!A1906</f>
        <v>Środki pieniężne na początek okresu</v>
      </c>
      <c r="C56" s="506">
        <v>21046</v>
      </c>
      <c r="D56" s="506">
        <v>28358</v>
      </c>
      <c r="E56" s="506">
        <v>23287</v>
      </c>
      <c r="F56" s="506">
        <v>13334</v>
      </c>
      <c r="G56" s="635">
        <v>21046</v>
      </c>
      <c r="H56" s="577"/>
      <c r="I56" s="467"/>
    </row>
    <row r="57" spans="1:9" s="55" customFormat="1" ht="12" thickBot="1">
      <c r="A57" s="64"/>
      <c r="B57" s="411"/>
      <c r="C57" s="508"/>
      <c r="D57" s="508"/>
      <c r="E57" s="508"/>
      <c r="F57" s="508"/>
      <c r="G57" s="638"/>
      <c r="H57" s="577"/>
    </row>
    <row r="58" spans="1:9" s="1" customFormat="1" ht="12" thickBot="1">
      <c r="A58" s="62"/>
      <c r="B58" s="404" t="str">
        <f>names!A1908</f>
        <v>Środki pieniężne na koniec okresu</v>
      </c>
      <c r="C58" s="134">
        <v>28358</v>
      </c>
      <c r="D58" s="134">
        <v>23287</v>
      </c>
      <c r="E58" s="134">
        <v>13334</v>
      </c>
      <c r="F58" s="134">
        <v>13282</v>
      </c>
      <c r="G58" s="185">
        <v>13282</v>
      </c>
      <c r="H58" s="577"/>
    </row>
    <row r="59" spans="1:9" ht="12" customHeight="1">
      <c r="A59" s="28"/>
      <c r="B59" s="468" t="str">
        <f>names!A1909</f>
        <v>w tym środki pieniężne o ograniczonej możliwości dysponowania</v>
      </c>
      <c r="C59" s="505">
        <v>4491</v>
      </c>
      <c r="D59" s="505">
        <v>1787</v>
      </c>
      <c r="E59" s="505">
        <v>1038</v>
      </c>
      <c r="F59" s="505">
        <v>1448</v>
      </c>
      <c r="G59" s="505">
        <v>1448</v>
      </c>
      <c r="H59" s="577"/>
      <c r="I59" s="370"/>
    </row>
    <row r="60" spans="1:9" ht="11.25" customHeight="1">
      <c r="A60" s="28"/>
      <c r="C60" s="183"/>
      <c r="D60" s="183"/>
      <c r="E60" s="183"/>
      <c r="F60" s="183"/>
      <c r="G60" s="183"/>
      <c r="H60" s="577"/>
    </row>
    <row r="61" spans="1:9" ht="14.25" customHeight="1">
      <c r="A61" s="28"/>
      <c r="B61" s="474"/>
      <c r="C61"/>
      <c r="D61"/>
      <c r="E61" s="21"/>
      <c r="F61" s="21"/>
      <c r="G61" s="21"/>
    </row>
    <row r="62" spans="1:9">
      <c r="A62" s="28"/>
      <c r="B62" s="577"/>
      <c r="C62" s="577"/>
      <c r="D62" s="577"/>
      <c r="E62" s="577"/>
      <c r="F62" s="577"/>
      <c r="G62" s="577"/>
    </row>
    <row r="63" spans="1:9">
      <c r="A63" s="28"/>
      <c r="B63" s="46"/>
      <c r="C63" s="23"/>
      <c r="D63" s="23"/>
      <c r="E63" s="23"/>
      <c r="F63" s="23"/>
      <c r="G63" s="23"/>
    </row>
    <row r="64" spans="1:9">
      <c r="A64" s="28"/>
      <c r="B64" s="46"/>
      <c r="C64" s="23"/>
      <c r="D64" s="23"/>
      <c r="E64" s="23"/>
      <c r="F64" s="23"/>
      <c r="G64" s="23"/>
    </row>
    <row r="65" spans="1:7">
      <c r="A65" s="28"/>
      <c r="B65" s="46"/>
      <c r="C65" s="23"/>
      <c r="D65" s="23"/>
      <c r="E65" s="23"/>
      <c r="F65" s="23"/>
      <c r="G65" s="23"/>
    </row>
    <row r="66" spans="1:7">
      <c r="A66" s="28"/>
      <c r="B66" s="46"/>
      <c r="C66" s="23"/>
      <c r="D66" s="23"/>
      <c r="E66" s="23"/>
      <c r="F66" s="23"/>
      <c r="G66" s="23"/>
    </row>
    <row r="67" spans="1:7">
      <c r="A67" s="28"/>
      <c r="B67" s="46"/>
      <c r="C67" s="23"/>
      <c r="D67" s="23"/>
      <c r="E67" s="23"/>
      <c r="F67" s="23"/>
      <c r="G67" s="23"/>
    </row>
    <row r="68" spans="1:7">
      <c r="A68" s="28"/>
      <c r="B68" s="46"/>
      <c r="C68" s="23"/>
      <c r="D68" s="23"/>
      <c r="E68" s="23"/>
      <c r="F68" s="23"/>
      <c r="G68" s="23"/>
    </row>
    <row r="69" spans="1:7">
      <c r="A69" s="28"/>
      <c r="B69" s="46"/>
      <c r="C69" s="23"/>
      <c r="D69" s="23"/>
      <c r="E69" s="23"/>
      <c r="F69" s="23"/>
      <c r="G69" s="23"/>
    </row>
    <row r="70" spans="1:7">
      <c r="A70" s="28"/>
      <c r="B70" s="46"/>
      <c r="C70" s="23"/>
      <c r="D70" s="23"/>
      <c r="E70" s="23"/>
      <c r="F70" s="23"/>
      <c r="G70" s="23"/>
    </row>
    <row r="71" spans="1:7">
      <c r="A71" s="28"/>
      <c r="B71" s="46"/>
    </row>
    <row r="72" spans="1:7">
      <c r="A72" s="28"/>
    </row>
    <row r="73" spans="1:7">
      <c r="A73" s="28"/>
    </row>
    <row r="74" spans="1:7">
      <c r="A74" s="28"/>
    </row>
    <row r="75" spans="1:7">
      <c r="A75" s="28"/>
    </row>
    <row r="76" spans="1:7">
      <c r="A76" s="28"/>
    </row>
    <row r="77" spans="1:7">
      <c r="A77" s="28"/>
    </row>
    <row r="78" spans="1:7">
      <c r="A78" s="28"/>
    </row>
    <row r="79" spans="1:7">
      <c r="A79" s="28"/>
    </row>
    <row r="80" spans="1:7">
      <c r="A80" s="28"/>
    </row>
    <row r="81" spans="1:7">
      <c r="A81" s="28"/>
    </row>
    <row r="82" spans="1:7">
      <c r="A82" s="28"/>
    </row>
    <row r="83" spans="1:7">
      <c r="A83" s="28"/>
    </row>
    <row r="84" spans="1:7">
      <c r="A84" s="28"/>
    </row>
    <row r="85" spans="1:7">
      <c r="A85" s="28"/>
    </row>
    <row r="86" spans="1:7" s="13" customFormat="1">
      <c r="A86" s="28"/>
      <c r="C86" s="10"/>
      <c r="D86" s="10"/>
      <c r="E86" s="10"/>
      <c r="F86" s="10"/>
      <c r="G86" s="10"/>
    </row>
    <row r="87" spans="1:7" s="13" customFormat="1">
      <c r="A87" s="28"/>
      <c r="C87" s="10"/>
      <c r="D87" s="10"/>
      <c r="E87" s="10"/>
      <c r="F87" s="10"/>
      <c r="G87" s="10"/>
    </row>
  </sheetData>
  <conditionalFormatting sqref="B62:G62">
    <cfRule type="cellIs" dxfId="15" priority="3" operator="equal">
      <formula>FALSE</formula>
    </cfRule>
  </conditionalFormatting>
  <conditionalFormatting sqref="H2:H60">
    <cfRule type="cellIs" dxfId="14" priority="1" operator="equal">
      <formula>FALSE</formula>
    </cfRule>
  </conditionalFormatting>
  <printOptions horizontalCentered="1"/>
  <pageMargins left="0.47244094488188981" right="0.39370078740157483" top="0.98425196850393704" bottom="0.98425196850393704" header="0.51181102362204722" footer="0.51181102362204722"/>
  <pageSetup paperSize="9" scale="65"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0.34998626667073579"/>
    <pageSetUpPr fitToPage="1"/>
  </sheetPr>
  <dimension ref="A2:V83"/>
  <sheetViews>
    <sheetView showGridLines="0"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2.75" outlineLevelCol="1"/>
  <cols>
    <col min="1" max="1" width="1.28515625" customWidth="1"/>
    <col min="2" max="2" width="88.42578125" style="13" customWidth="1"/>
    <col min="3" max="6" width="8.5703125" style="10" hidden="1" customWidth="1" outlineLevel="1"/>
    <col min="7" max="7" width="10.28515625" style="10" customWidth="1" collapsed="1"/>
  </cols>
  <sheetData>
    <row r="2" spans="1:7" ht="15.75">
      <c r="B2" s="397" t="str">
        <f>names!$A683</f>
        <v>Skonsolidowane sprawozdanie z przepływów pieniężnych</v>
      </c>
    </row>
    <row r="3" spans="1:7" ht="10.15" customHeight="1"/>
    <row r="4" spans="1:7" s="1" customFormat="1" ht="29.25" customHeight="1">
      <c r="B4" s="15" t="str">
        <f>names!$A685</f>
        <v>Wyszczególnienie, 
mln PLN</v>
      </c>
      <c r="C4" s="15" t="str">
        <f>names!$A169</f>
        <v>I kw. 
2024</v>
      </c>
      <c r="D4" s="15" t="str">
        <f>names!$A170</f>
        <v>II kw. 
2024</v>
      </c>
      <c r="E4" s="15" t="str">
        <f>names!$A171</f>
        <v>III kw. 
2024</v>
      </c>
      <c r="F4" s="15" t="str">
        <f>names!$A172</f>
        <v>IV kw. 
2024</v>
      </c>
      <c r="G4" s="15" t="str">
        <f>names!$A173</f>
        <v>12 m-cy 2024</v>
      </c>
    </row>
    <row r="5" spans="1:7" s="30" customFormat="1" ht="7.15" customHeight="1">
      <c r="B5" s="92"/>
      <c r="C5" s="92"/>
      <c r="D5" s="92"/>
      <c r="E5" s="92"/>
      <c r="F5" s="92"/>
      <c r="G5" s="92"/>
    </row>
    <row r="6" spans="1:7" s="1" customFormat="1" ht="11.25">
      <c r="B6" s="406" t="str">
        <f>names!$A687</f>
        <v>Przepływy pieniężne z działalności operacyjnej</v>
      </c>
      <c r="C6" s="8"/>
      <c r="D6" s="27"/>
      <c r="E6" s="27"/>
      <c r="F6" s="27"/>
      <c r="G6" s="227"/>
    </row>
    <row r="7" spans="1:7" s="1" customFormat="1" ht="11.25">
      <c r="B7" s="402" t="str">
        <f>names!$A688</f>
        <v>Zysk/(Strata) przed opodatkowaniem</v>
      </c>
      <c r="C7" s="130">
        <v>4528</v>
      </c>
      <c r="D7" s="130">
        <v>1070</v>
      </c>
      <c r="E7" s="130">
        <v>1975</v>
      </c>
      <c r="F7" s="130">
        <v>7398</v>
      </c>
      <c r="G7" s="228">
        <v>7619</v>
      </c>
    </row>
    <row r="8" spans="1:7" s="1" customFormat="1" ht="11.25">
      <c r="B8" s="46" t="str">
        <f>names!$A689</f>
        <v>Korekty o pozycje:</v>
      </c>
      <c r="C8" s="504"/>
      <c r="D8" s="504"/>
      <c r="E8" s="131"/>
      <c r="F8" s="131"/>
      <c r="G8" s="229"/>
    </row>
    <row r="9" spans="1:7" s="1" customFormat="1" ht="11.25" customHeight="1">
      <c r="B9" s="405" t="str">
        <f>names!$A690</f>
        <v>Udział w wyniku finansowym jednostek wycenianych metodą praw własności</v>
      </c>
      <c r="C9" s="504">
        <v>37</v>
      </c>
      <c r="D9" s="504">
        <v>-252</v>
      </c>
      <c r="E9" s="131">
        <v>287</v>
      </c>
      <c r="F9" s="131">
        <v>68</v>
      </c>
      <c r="G9" s="229">
        <v>140</v>
      </c>
    </row>
    <row r="10" spans="1:7" s="1" customFormat="1" ht="11.25">
      <c r="B10" s="405" t="str">
        <f>names!$A691</f>
        <v>Amortyzacja</v>
      </c>
      <c r="C10" s="504">
        <v>3356</v>
      </c>
      <c r="D10" s="504">
        <v>3502</v>
      </c>
      <c r="E10" s="131">
        <v>3365</v>
      </c>
      <c r="F10" s="131">
        <v>3713</v>
      </c>
      <c r="G10" s="229">
        <v>14014</v>
      </c>
    </row>
    <row r="11" spans="1:7" s="1" customFormat="1" ht="11.25">
      <c r="B11" s="405" t="str">
        <f>names!$A692</f>
        <v>(Zysk)/Strata z tytułu różnic kursowych</v>
      </c>
      <c r="C11" s="504">
        <v>-116</v>
      </c>
      <c r="D11" s="504">
        <v>15</v>
      </c>
      <c r="E11" s="131">
        <v>-147</v>
      </c>
      <c r="F11" s="131">
        <v>-118</v>
      </c>
      <c r="G11" s="229">
        <v>-366</v>
      </c>
    </row>
    <row r="12" spans="1:7" s="1" customFormat="1" ht="11.25">
      <c r="B12" s="405" t="str">
        <f>names!$A693</f>
        <v>Odsetki netto i dywidendy</v>
      </c>
      <c r="C12" s="504">
        <v>118</v>
      </c>
      <c r="D12" s="504">
        <v>101</v>
      </c>
      <c r="E12" s="131">
        <v>91</v>
      </c>
      <c r="F12" s="131">
        <v>134</v>
      </c>
      <c r="G12" s="229">
        <v>444</v>
      </c>
    </row>
    <row r="13" spans="1:7" s="1" customFormat="1" ht="11.25">
      <c r="B13" s="405" t="str">
        <f>names!$A695</f>
        <v>(Zysk)/Strata na działalności inwestycyjnej</v>
      </c>
      <c r="C13" s="504">
        <v>735</v>
      </c>
      <c r="D13" s="504">
        <v>483</v>
      </c>
      <c r="E13" s="131">
        <v>3519</v>
      </c>
      <c r="F13" s="131">
        <v>1014</v>
      </c>
      <c r="G13" s="229">
        <v>13373</v>
      </c>
    </row>
    <row r="14" spans="1:7" s="1" customFormat="1" ht="11.25">
      <c r="A14" s="62"/>
      <c r="B14" s="509" t="str">
        <f>names!$A696</f>
        <v xml:space="preserve">Zmiana stanu rezerw </v>
      </c>
      <c r="C14" s="510">
        <v>2016</v>
      </c>
      <c r="D14" s="510">
        <v>933</v>
      </c>
      <c r="E14" s="151">
        <v>1634</v>
      </c>
      <c r="F14" s="151">
        <v>2760</v>
      </c>
      <c r="G14" s="239">
        <v>6977</v>
      </c>
    </row>
    <row r="15" spans="1:7" s="1" customFormat="1" ht="11.25">
      <c r="A15" s="62"/>
      <c r="B15" s="407" t="str">
        <f>names!$A697</f>
        <v>Zmiana stanu kapitału pracującego</v>
      </c>
      <c r="C15" s="506">
        <v>5611</v>
      </c>
      <c r="D15" s="506">
        <v>3088</v>
      </c>
      <c r="E15" s="133">
        <v>-512</v>
      </c>
      <c r="F15" s="133">
        <v>-955</v>
      </c>
      <c r="G15" s="230">
        <v>7937</v>
      </c>
    </row>
    <row r="16" spans="1:7" s="26" customFormat="1" ht="11.25">
      <c r="A16" s="453"/>
      <c r="B16" s="408" t="str">
        <f>names!$A698</f>
        <v>zapasy</v>
      </c>
      <c r="C16" s="505">
        <v>1986</v>
      </c>
      <c r="D16" s="505">
        <v>-1250</v>
      </c>
      <c r="E16" s="132">
        <v>-557</v>
      </c>
      <c r="F16" s="132">
        <v>568</v>
      </c>
      <c r="G16" s="231">
        <v>1370</v>
      </c>
    </row>
    <row r="17" spans="1:7" s="26" customFormat="1" ht="11.25">
      <c r="A17" s="453"/>
      <c r="B17" s="408" t="str">
        <f>names!$A699</f>
        <v>należności</v>
      </c>
      <c r="C17" s="505">
        <v>4729</v>
      </c>
      <c r="D17" s="505">
        <v>3721</v>
      </c>
      <c r="E17" s="132">
        <v>1615</v>
      </c>
      <c r="F17" s="132">
        <v>-2158</v>
      </c>
      <c r="G17" s="231">
        <v>7989</v>
      </c>
    </row>
    <row r="18" spans="1:7" s="26" customFormat="1" ht="11.25">
      <c r="A18" s="453"/>
      <c r="B18" s="408" t="str">
        <f>names!$A700</f>
        <v>zobowiązania</v>
      </c>
      <c r="C18" s="505">
        <v>-1104</v>
      </c>
      <c r="D18" s="505">
        <v>617</v>
      </c>
      <c r="E18" s="132">
        <v>-1570</v>
      </c>
      <c r="F18" s="132">
        <v>635</v>
      </c>
      <c r="G18" s="231">
        <v>-1422</v>
      </c>
    </row>
    <row r="19" spans="1:7" s="1" customFormat="1" ht="11.25">
      <c r="A19" s="62"/>
      <c r="B19" s="405" t="str">
        <f>names!$A701</f>
        <v>Pozostałe korekty, w tym:</v>
      </c>
      <c r="C19" s="504">
        <v>-2628</v>
      </c>
      <c r="D19" s="504">
        <v>-2088</v>
      </c>
      <c r="E19" s="131">
        <v>-1692</v>
      </c>
      <c r="F19" s="131">
        <v>-1286</v>
      </c>
      <c r="G19" s="229">
        <v>-8381</v>
      </c>
    </row>
    <row r="20" spans="1:7" s="26" customFormat="1" ht="11.25">
      <c r="A20" s="453"/>
      <c r="B20" s="408" t="str">
        <f>names!$A702</f>
        <v>rozliczenie dotacji na prawa majątkowe</v>
      </c>
      <c r="C20" s="505">
        <v>-610</v>
      </c>
      <c r="D20" s="505">
        <v>-693</v>
      </c>
      <c r="E20" s="132">
        <v>-631</v>
      </c>
      <c r="F20" s="132">
        <v>-735</v>
      </c>
      <c r="G20" s="231">
        <v>-2669</v>
      </c>
    </row>
    <row r="21" spans="1:7" s="26" customFormat="1" ht="11.25">
      <c r="A21" s="453"/>
      <c r="B21" s="408" t="str">
        <f>names!$A703</f>
        <v>depozyty zabezpieczające</v>
      </c>
      <c r="C21" s="505">
        <v>-686</v>
      </c>
      <c r="D21" s="505">
        <v>84</v>
      </c>
      <c r="E21" s="132">
        <v>-167</v>
      </c>
      <c r="F21" s="132">
        <v>175</v>
      </c>
      <c r="G21" s="231">
        <v>-594</v>
      </c>
    </row>
    <row r="22" spans="1:7" s="26" customFormat="1" ht="11.25">
      <c r="A22" s="453"/>
      <c r="B22" s="408" t="str">
        <f>names!$A704</f>
        <v>instrumenty pochodne</v>
      </c>
      <c r="C22" s="505">
        <v>-1044</v>
      </c>
      <c r="D22" s="505">
        <v>-479</v>
      </c>
      <c r="E22" s="132">
        <v>-648.69439423999984</v>
      </c>
      <c r="F22" s="132">
        <v>-262.74314479000031</v>
      </c>
      <c r="G22" s="231">
        <v>-2434.4375390300002</v>
      </c>
    </row>
    <row r="23" spans="1:7" s="26" customFormat="1" ht="11.25">
      <c r="A23" s="453"/>
      <c r="B23" s="408" t="str">
        <f>names!$A705</f>
        <v>zapasy obowiązkowe</v>
      </c>
      <c r="C23" s="505">
        <v>0</v>
      </c>
      <c r="D23" s="505">
        <v>0</v>
      </c>
      <c r="E23" s="132">
        <v>0</v>
      </c>
      <c r="F23" s="132">
        <v>-152</v>
      </c>
      <c r="G23" s="231">
        <v>-775</v>
      </c>
    </row>
    <row r="24" spans="1:7" s="26" customFormat="1" ht="11.25">
      <c r="A24" s="453"/>
      <c r="B24" s="452" t="str">
        <f>names!$A707</f>
        <v>zmiana stanu aktywów i zobowiązań z tytułu kontraktów wycenionych na moment rozliczenia połączenia jednostek</v>
      </c>
      <c r="C24" s="505">
        <v>-612</v>
      </c>
      <c r="D24" s="505">
        <v>-420</v>
      </c>
      <c r="E24" s="132">
        <v>-380</v>
      </c>
      <c r="F24" s="132">
        <v>-406</v>
      </c>
      <c r="G24" s="231">
        <v>-1818</v>
      </c>
    </row>
    <row r="25" spans="1:7" s="1" customFormat="1" ht="12" thickBot="1">
      <c r="A25" s="62"/>
      <c r="B25" s="46" t="str">
        <f>names!$A708</f>
        <v>Podatek dochodowy (zapłacony)</v>
      </c>
      <c r="C25" s="504">
        <v>-1987</v>
      </c>
      <c r="D25" s="504">
        <v>-889</v>
      </c>
      <c r="E25" s="131">
        <v>52</v>
      </c>
      <c r="F25" s="131">
        <v>-2299</v>
      </c>
      <c r="G25" s="229">
        <v>-5123</v>
      </c>
    </row>
    <row r="26" spans="1:7" s="1" customFormat="1" ht="12" thickBot="1">
      <c r="A26" s="62"/>
      <c r="B26" s="404" t="str">
        <f>names!$A709</f>
        <v>Środki pieniężne netto z/(wykorzystane w) działalności operacyjnej</v>
      </c>
      <c r="C26" s="134">
        <v>11670</v>
      </c>
      <c r="D26" s="134">
        <v>5963</v>
      </c>
      <c r="E26" s="134">
        <v>8572</v>
      </c>
      <c r="F26" s="134">
        <v>10429</v>
      </c>
      <c r="G26" s="185">
        <v>36634</v>
      </c>
    </row>
    <row r="27" spans="1:7" s="1" customFormat="1" ht="11.25">
      <c r="A27" s="62"/>
      <c r="B27" s="406" t="str">
        <f>names!$A710</f>
        <v>Przepływy pieniężne z działalności inwestycyjnej</v>
      </c>
      <c r="C27" s="504"/>
      <c r="D27" s="504"/>
      <c r="E27" s="131"/>
      <c r="F27" s="131"/>
      <c r="G27" s="229"/>
    </row>
    <row r="28" spans="1:7" s="1" customFormat="1" ht="11.25">
      <c r="A28" s="62"/>
      <c r="B28" s="500" t="str">
        <f>names!$A711</f>
        <v>Nabycie składników rzeczowego majątku trwałego, wartości niematerialnych i aktywów z tytułu praw do użytkowania</v>
      </c>
      <c r="C28" s="504">
        <v>-8271</v>
      </c>
      <c r="D28" s="504">
        <v>-6670</v>
      </c>
      <c r="E28" s="131">
        <v>-6689</v>
      </c>
      <c r="F28" s="131">
        <v>-9307</v>
      </c>
      <c r="G28" s="229">
        <v>-30937</v>
      </c>
    </row>
    <row r="29" spans="1:7" s="1" customFormat="1" ht="11.25">
      <c r="A29" s="62"/>
      <c r="B29" s="500" t="str">
        <f>names!$A712</f>
        <v>Wpływy netto  związane z realizacją Środków Zaradczych</v>
      </c>
      <c r="C29" s="504">
        <v>0</v>
      </c>
      <c r="D29" s="504">
        <v>20</v>
      </c>
      <c r="E29" s="131">
        <v>0</v>
      </c>
      <c r="F29" s="131">
        <v>0</v>
      </c>
      <c r="G29" s="229">
        <v>0</v>
      </c>
    </row>
    <row r="30" spans="1:7" s="1" customFormat="1" ht="11.25">
      <c r="A30" s="62"/>
      <c r="B30" s="500" t="str">
        <f>names!$A713</f>
        <v>Sprzedaż składników rzeczowego majątku trwałego, wartości niematerialnych i aktywów z tytułu praw do użytkowania</v>
      </c>
      <c r="C30" s="504">
        <v>27</v>
      </c>
      <c r="D30" s="504">
        <v>12</v>
      </c>
      <c r="E30" s="131">
        <v>152</v>
      </c>
      <c r="F30" s="131">
        <v>108</v>
      </c>
      <c r="G30" s="229">
        <v>299</v>
      </c>
    </row>
    <row r="31" spans="1:7" s="1" customFormat="1" ht="11.25">
      <c r="A31" s="62"/>
      <c r="B31" s="500" t="str">
        <f>names!$A714</f>
        <v>Dokapitalizowanie w inwestycjach we wspólne przedsięwzięcia</v>
      </c>
      <c r="C31" s="504">
        <v>-2</v>
      </c>
      <c r="D31" s="504">
        <v>0</v>
      </c>
      <c r="E31" s="131">
        <v>0</v>
      </c>
      <c r="F31" s="131">
        <v>0</v>
      </c>
      <c r="G31" s="229">
        <v>-2</v>
      </c>
    </row>
    <row r="32" spans="1:7" s="1" customFormat="1" ht="11.25">
      <c r="A32" s="62"/>
      <c r="B32" s="500" t="str">
        <f>names!$A715</f>
        <v>Odsetki otrzymane</v>
      </c>
      <c r="C32" s="504">
        <v>8</v>
      </c>
      <c r="D32" s="504">
        <v>15</v>
      </c>
      <c r="E32" s="131">
        <v>2</v>
      </c>
      <c r="F32" s="131">
        <v>14</v>
      </c>
      <c r="G32" s="229">
        <v>39</v>
      </c>
    </row>
    <row r="33" spans="1:7" s="1" customFormat="1" ht="11.25">
      <c r="A33" s="62"/>
      <c r="B33" s="500" t="str">
        <f>names!$A716</f>
        <v>Dywidendy otrzymane</v>
      </c>
      <c r="C33" s="504">
        <v>0</v>
      </c>
      <c r="D33" s="504">
        <v>67</v>
      </c>
      <c r="E33" s="131">
        <v>2</v>
      </c>
      <c r="F33" s="131">
        <v>0</v>
      </c>
      <c r="G33" s="229">
        <v>69</v>
      </c>
    </row>
    <row r="34" spans="1:7" s="1" customFormat="1" ht="11.25">
      <c r="A34" s="62"/>
      <c r="B34" s="500" t="str">
        <f>names!$A718</f>
        <v>(Wydatki) z tytułu udzielonych pożyczek</v>
      </c>
      <c r="C34" s="504">
        <v>11</v>
      </c>
      <c r="D34" s="504">
        <v>27</v>
      </c>
      <c r="E34" s="131">
        <v>-10</v>
      </c>
      <c r="F34" s="131">
        <v>0</v>
      </c>
      <c r="G34" s="229">
        <v>-4</v>
      </c>
    </row>
    <row r="35" spans="1:7" s="1" customFormat="1" ht="11.25">
      <c r="A35" s="62"/>
      <c r="B35" s="502" t="str">
        <f>names!$A719</f>
        <v>(Nabycie)/Zbycie akcji i udziałów pomniejszone o środki pieniężne</v>
      </c>
      <c r="C35" s="504">
        <v>-1552</v>
      </c>
      <c r="D35" s="504">
        <v>-378</v>
      </c>
      <c r="E35" s="131">
        <v>16</v>
      </c>
      <c r="F35" s="131">
        <v>-1581</v>
      </c>
      <c r="G35" s="229">
        <v>-3550</v>
      </c>
    </row>
    <row r="36" spans="1:7" s="1" customFormat="1" ht="12" thickBot="1">
      <c r="A36" s="62"/>
      <c r="B36" s="502" t="str">
        <f>names!$A720</f>
        <v>Pozostałe</v>
      </c>
      <c r="C36" s="504">
        <v>1</v>
      </c>
      <c r="D36" s="504">
        <v>-31</v>
      </c>
      <c r="E36" s="131">
        <v>4</v>
      </c>
      <c r="F36" s="131">
        <v>-46</v>
      </c>
      <c r="G36" s="229">
        <v>35</v>
      </c>
    </row>
    <row r="37" spans="1:7" s="1" customFormat="1" ht="12" customHeight="1" thickBot="1">
      <c r="A37" s="62"/>
      <c r="B37" s="404" t="str">
        <f>names!$A721</f>
        <v>Środki pieniężne netto z/(wykorzystane w) działalności inwestycyjnej</v>
      </c>
      <c r="C37" s="134">
        <v>-9778</v>
      </c>
      <c r="D37" s="134">
        <v>-6938</v>
      </c>
      <c r="E37" s="134">
        <v>-6523</v>
      </c>
      <c r="F37" s="134">
        <v>-10812</v>
      </c>
      <c r="G37" s="202">
        <v>-34051</v>
      </c>
    </row>
    <row r="38" spans="1:7" s="1" customFormat="1" ht="11.25">
      <c r="A38" s="62"/>
      <c r="B38" s="406" t="str">
        <f>names!$A722</f>
        <v>Przepływy pieniężne z działalności finansowej</v>
      </c>
      <c r="C38" s="135"/>
      <c r="D38" s="135"/>
      <c r="E38" s="135"/>
      <c r="F38" s="135"/>
      <c r="G38" s="232"/>
    </row>
    <row r="39" spans="1:7" s="1" customFormat="1" ht="11.25">
      <c r="A39" s="62"/>
      <c r="B39" s="502" t="str">
        <f>names!$A723</f>
        <v>Wpływy z otrzymanych kredytów i pożyczek</v>
      </c>
      <c r="C39" s="504">
        <v>1983</v>
      </c>
      <c r="D39" s="504">
        <v>2015</v>
      </c>
      <c r="E39" s="131">
        <v>994</v>
      </c>
      <c r="F39" s="131">
        <v>7969</v>
      </c>
      <c r="G39" s="229">
        <v>12961</v>
      </c>
    </row>
    <row r="40" spans="1:7" s="1" customFormat="1" ht="11.25">
      <c r="A40" s="62"/>
      <c r="B40" s="503" t="str">
        <f>names!$A724</f>
        <v>Spłaty kredytów i pożyczek</v>
      </c>
      <c r="C40" s="504">
        <v>-4816</v>
      </c>
      <c r="D40" s="504">
        <v>-1369</v>
      </c>
      <c r="E40" s="131">
        <v>-2061</v>
      </c>
      <c r="F40" s="131">
        <v>-2270</v>
      </c>
      <c r="G40" s="229">
        <v>-10516</v>
      </c>
    </row>
    <row r="41" spans="1:7" s="1" customFormat="1" ht="11.25">
      <c r="A41" s="62"/>
      <c r="B41" s="503" t="str">
        <f>names!$A725</f>
        <v>Wykup obligacji</v>
      </c>
      <c r="C41" s="504">
        <v>-23</v>
      </c>
      <c r="D41" s="504">
        <v>-82</v>
      </c>
      <c r="E41" s="131">
        <v>0</v>
      </c>
      <c r="F41" s="131">
        <v>0</v>
      </c>
      <c r="G41" s="229">
        <v>-105</v>
      </c>
    </row>
    <row r="42" spans="1:7" s="1" customFormat="1" ht="11.25">
      <c r="A42" s="62"/>
      <c r="B42" s="502" t="str">
        <f>names!$A726</f>
        <v>Odsetki zapłacone od kredytów, pożyczek i obligacji</v>
      </c>
      <c r="C42" s="504">
        <v>-125</v>
      </c>
      <c r="D42" s="504">
        <v>-105</v>
      </c>
      <c r="E42" s="131">
        <v>-179</v>
      </c>
      <c r="F42" s="131">
        <v>-87</v>
      </c>
      <c r="G42" s="229">
        <v>-496</v>
      </c>
    </row>
    <row r="43" spans="1:7" s="1" customFormat="1" ht="11.25">
      <c r="A43" s="62"/>
      <c r="B43" s="502" t="str">
        <f>names!$A728</f>
        <v>Odsetki zapłacone z tytułu leasingu</v>
      </c>
      <c r="C43" s="504">
        <v>-109</v>
      </c>
      <c r="D43" s="504">
        <v>-136</v>
      </c>
      <c r="E43" s="131">
        <v>-100</v>
      </c>
      <c r="F43" s="131">
        <v>-109</v>
      </c>
      <c r="G43" s="229">
        <v>-454</v>
      </c>
    </row>
    <row r="44" spans="1:7" s="1" customFormat="1" ht="11.25">
      <c r="A44" s="62"/>
      <c r="B44" s="502" t="str">
        <f>names!$A727</f>
        <v>Dywidendy wypłacone</v>
      </c>
      <c r="C44" s="504">
        <v>0</v>
      </c>
      <c r="D44" s="504">
        <v>0</v>
      </c>
      <c r="E44" s="131">
        <v>-1</v>
      </c>
      <c r="F44" s="131">
        <v>-4818</v>
      </c>
      <c r="G44" s="229">
        <v>-4819</v>
      </c>
    </row>
    <row r="45" spans="1:7" s="1" customFormat="1" ht="11.25">
      <c r="A45" s="62"/>
      <c r="B45" s="405" t="str">
        <f>names!$A729</f>
        <v>Płatności zobowiązań z tytułu umów leasingu</v>
      </c>
      <c r="C45" s="504">
        <v>-526</v>
      </c>
      <c r="D45" s="504">
        <v>-334</v>
      </c>
      <c r="E45" s="131">
        <v>-350</v>
      </c>
      <c r="F45" s="131">
        <v>-397</v>
      </c>
      <c r="G45" s="229">
        <v>-1607</v>
      </c>
    </row>
    <row r="46" spans="1:7" s="1" customFormat="1" ht="11.25">
      <c r="A46" s="62"/>
      <c r="B46" s="405" t="str">
        <f>names!$A730</f>
        <v>Otrzymane dotacje</v>
      </c>
      <c r="C46" s="504">
        <v>23</v>
      </c>
      <c r="D46" s="504">
        <v>70</v>
      </c>
      <c r="E46" s="131">
        <v>28</v>
      </c>
      <c r="F46" s="131">
        <v>305</v>
      </c>
      <c r="G46" s="229">
        <v>426</v>
      </c>
    </row>
    <row r="47" spans="1:7" s="1" customFormat="1" ht="12" thickBot="1">
      <c r="A47" s="62"/>
      <c r="B47" s="405" t="str">
        <f>names!$A731</f>
        <v>Pozostałe</v>
      </c>
      <c r="C47" s="504">
        <v>-56</v>
      </c>
      <c r="D47" s="504">
        <v>-30</v>
      </c>
      <c r="E47" s="131">
        <v>-25</v>
      </c>
      <c r="F47" s="131">
        <v>-40</v>
      </c>
      <c r="G47" s="229">
        <v>-151</v>
      </c>
    </row>
    <row r="48" spans="1:7" s="1" customFormat="1" ht="12" thickBot="1">
      <c r="A48" s="62"/>
      <c r="B48" s="404" t="str">
        <f>names!$A732</f>
        <v>Środki pieniężne netto z/(wykorzystane w) działalności finansowej</v>
      </c>
      <c r="C48" s="134">
        <v>-3649</v>
      </c>
      <c r="D48" s="134">
        <v>29</v>
      </c>
      <c r="E48" s="134">
        <v>-1694</v>
      </c>
      <c r="F48" s="134">
        <v>553</v>
      </c>
      <c r="G48" s="185">
        <v>-4761</v>
      </c>
    </row>
    <row r="49" spans="1:22" s="55" customFormat="1" ht="5.25">
      <c r="A49" s="64"/>
      <c r="B49" s="410"/>
      <c r="C49" s="507"/>
      <c r="D49" s="507"/>
      <c r="E49" s="136"/>
      <c r="F49" s="136"/>
      <c r="G49" s="233"/>
    </row>
    <row r="50" spans="1:22" s="1" customFormat="1" ht="11.25">
      <c r="A50" s="62"/>
      <c r="B50" s="402" t="str">
        <f>names!$A734</f>
        <v>Zwiększenie/(Zmniejszenie) netto stanu środków pieniężnych</v>
      </c>
      <c r="C50" s="130">
        <v>-1757</v>
      </c>
      <c r="D50" s="130">
        <v>-946</v>
      </c>
      <c r="E50" s="130">
        <v>355</v>
      </c>
      <c r="F50" s="130">
        <v>170</v>
      </c>
      <c r="G50" s="228">
        <v>-2178</v>
      </c>
    </row>
    <row r="51" spans="1:22" s="1" customFormat="1" ht="11.25">
      <c r="A51" s="123"/>
      <c r="B51" s="407" t="str">
        <f>names!$A735</f>
        <v>Zmiana stanu środków pieniężnych i ich ekwiwalentów z tytułu różnic kursowych</v>
      </c>
      <c r="C51" s="506">
        <v>-111</v>
      </c>
      <c r="D51" s="506">
        <v>-36</v>
      </c>
      <c r="E51" s="133">
        <v>42</v>
      </c>
      <c r="F51" s="133">
        <v>43</v>
      </c>
      <c r="G51" s="230">
        <v>-62</v>
      </c>
    </row>
    <row r="52" spans="1:22" s="1" customFormat="1" ht="11.25">
      <c r="A52" s="123"/>
      <c r="B52" s="407" t="str">
        <f>names!$A736</f>
        <v>Środki pieniężne na początek okresu</v>
      </c>
      <c r="C52" s="506">
        <v>13282</v>
      </c>
      <c r="D52" s="506">
        <v>11414</v>
      </c>
      <c r="E52" s="133">
        <v>10432</v>
      </c>
      <c r="F52" s="133">
        <v>10829</v>
      </c>
      <c r="G52" s="230">
        <v>13282</v>
      </c>
    </row>
    <row r="53" spans="1:22" s="55" customFormat="1" ht="6" thickBot="1">
      <c r="A53" s="64"/>
      <c r="B53" s="411"/>
      <c r="C53" s="508"/>
      <c r="D53" s="508"/>
      <c r="E53" s="137"/>
      <c r="F53" s="137"/>
      <c r="G53" s="234"/>
    </row>
    <row r="54" spans="1:22" s="1" customFormat="1" ht="12" thickBot="1">
      <c r="A54" s="62"/>
      <c r="B54" s="404" t="str">
        <f>names!$A738</f>
        <v>Środki pieniężne na koniec okresu</v>
      </c>
      <c r="C54" s="134">
        <v>11414</v>
      </c>
      <c r="D54" s="134">
        <v>10432</v>
      </c>
      <c r="E54" s="134">
        <v>10829</v>
      </c>
      <c r="F54" s="134">
        <v>11042</v>
      </c>
      <c r="G54" s="185">
        <v>11042</v>
      </c>
    </row>
    <row r="55" spans="1:22" ht="12" customHeight="1">
      <c r="A55" s="28"/>
      <c r="B55" s="468" t="str">
        <f>names!$A739</f>
        <v>w tym środki pieniężne o ograniczonej możliwości dysponowania</v>
      </c>
      <c r="C55" s="505">
        <v>1155</v>
      </c>
      <c r="D55" s="505">
        <v>763</v>
      </c>
      <c r="E55" s="132">
        <v>825</v>
      </c>
      <c r="F55" s="132">
        <v>1405</v>
      </c>
      <c r="G55" s="132">
        <v>1405</v>
      </c>
    </row>
    <row r="56" spans="1:22" ht="11.25" customHeight="1">
      <c r="A56" s="28"/>
      <c r="C56" s="183"/>
      <c r="D56" s="183"/>
      <c r="E56" s="183"/>
      <c r="F56" s="183"/>
      <c r="G56" s="183"/>
    </row>
    <row r="57" spans="1:22" ht="14.25" customHeight="1">
      <c r="A57" s="28"/>
      <c r="B57" s="474"/>
      <c r="C57"/>
      <c r="D57"/>
      <c r="E57" s="21"/>
      <c r="F57" s="21"/>
      <c r="G57" s="21"/>
    </row>
    <row r="58" spans="1:22" ht="12.75" customHeight="1">
      <c r="B58" s="577"/>
      <c r="C58" s="577"/>
      <c r="D58" s="577"/>
      <c r="E58" s="577"/>
      <c r="F58" s="577"/>
      <c r="G58" s="577"/>
      <c r="H58" s="577"/>
      <c r="I58" s="577"/>
      <c r="J58" s="577"/>
      <c r="K58" s="577"/>
      <c r="L58" s="577"/>
      <c r="M58" s="577"/>
      <c r="N58" s="577"/>
      <c r="O58" s="577"/>
      <c r="P58" s="577"/>
      <c r="Q58" s="577"/>
      <c r="R58" s="577"/>
      <c r="S58" s="577"/>
      <c r="T58" s="577"/>
      <c r="U58" s="577"/>
      <c r="V58" s="577"/>
    </row>
    <row r="59" spans="1:22">
      <c r="A59" s="28"/>
      <c r="B59" s="46"/>
      <c r="C59" s="23"/>
      <c r="D59" s="23"/>
      <c r="E59" s="23"/>
      <c r="F59" s="23"/>
      <c r="G59" s="23"/>
    </row>
    <row r="60" spans="1:22">
      <c r="A60" s="28"/>
      <c r="B60" s="46"/>
      <c r="C60" s="23"/>
      <c r="D60" s="23"/>
      <c r="E60" s="23"/>
      <c r="F60" s="23"/>
      <c r="G60" s="23"/>
    </row>
    <row r="61" spans="1:22">
      <c r="A61" s="28"/>
      <c r="B61" s="46"/>
      <c r="C61" s="23"/>
      <c r="D61" s="23"/>
      <c r="E61" s="23"/>
      <c r="F61" s="23"/>
      <c r="G61" s="23"/>
    </row>
    <row r="62" spans="1:22">
      <c r="A62" s="28"/>
      <c r="B62" s="46"/>
      <c r="C62" s="23"/>
      <c r="D62" s="23"/>
      <c r="E62" s="23"/>
      <c r="F62" s="23"/>
      <c r="G62" s="23"/>
    </row>
    <row r="63" spans="1:22">
      <c r="A63" s="28"/>
      <c r="B63" s="46"/>
      <c r="C63" s="23"/>
      <c r="D63" s="23"/>
      <c r="E63" s="23"/>
      <c r="F63" s="23"/>
      <c r="G63" s="23"/>
    </row>
    <row r="64" spans="1:22">
      <c r="A64" s="28"/>
      <c r="B64" s="46"/>
      <c r="C64" s="23"/>
      <c r="D64" s="23"/>
      <c r="E64" s="23"/>
      <c r="F64" s="23"/>
      <c r="G64" s="23"/>
    </row>
    <row r="65" spans="1:7">
      <c r="A65" s="28"/>
      <c r="B65" s="46"/>
      <c r="C65" s="23"/>
      <c r="D65" s="23"/>
      <c r="E65" s="23"/>
      <c r="F65" s="23"/>
      <c r="G65" s="23"/>
    </row>
    <row r="66" spans="1:7">
      <c r="A66" s="28"/>
      <c r="B66" s="46"/>
      <c r="C66" s="23"/>
      <c r="D66" s="23"/>
      <c r="E66" s="23"/>
      <c r="F66" s="23"/>
      <c r="G66" s="23"/>
    </row>
    <row r="67" spans="1:7">
      <c r="A67" s="28"/>
      <c r="B67" s="46"/>
    </row>
    <row r="68" spans="1:7">
      <c r="A68" s="28"/>
    </row>
    <row r="69" spans="1:7">
      <c r="A69" s="28"/>
    </row>
    <row r="70" spans="1:7">
      <c r="A70" s="28"/>
    </row>
    <row r="71" spans="1:7">
      <c r="A71" s="28"/>
    </row>
    <row r="72" spans="1:7">
      <c r="A72" s="28"/>
    </row>
    <row r="73" spans="1:7">
      <c r="A73" s="28"/>
    </row>
    <row r="74" spans="1:7">
      <c r="A74" s="28"/>
    </row>
    <row r="75" spans="1:7">
      <c r="A75" s="28"/>
    </row>
    <row r="76" spans="1:7">
      <c r="A76" s="28"/>
    </row>
    <row r="77" spans="1:7">
      <c r="A77" s="28"/>
    </row>
    <row r="78" spans="1:7">
      <c r="A78" s="28"/>
    </row>
    <row r="79" spans="1:7">
      <c r="A79" s="28"/>
    </row>
    <row r="80" spans="1:7">
      <c r="A80" s="28"/>
    </row>
    <row r="81" spans="1:7">
      <c r="A81" s="28"/>
    </row>
    <row r="82" spans="1:7" s="13" customFormat="1">
      <c r="A82" s="28"/>
      <c r="C82" s="10"/>
      <c r="D82" s="10"/>
      <c r="E82" s="10"/>
      <c r="F82" s="10"/>
      <c r="G82" s="10"/>
    </row>
    <row r="83" spans="1:7" s="13" customFormat="1">
      <c r="A83" s="28"/>
      <c r="C83" s="10"/>
      <c r="D83" s="10"/>
      <c r="E83" s="10"/>
      <c r="F83" s="10"/>
      <c r="G83" s="10"/>
    </row>
  </sheetData>
  <conditionalFormatting sqref="B58:V58">
    <cfRule type="cellIs" dxfId="13" priority="2" operator="equal">
      <formula>FALSE</formula>
    </cfRule>
  </conditionalFormatting>
  <printOptions horizontalCentered="1"/>
  <pageMargins left="0.47244094488188981" right="0.39370078740157483" top="0.98425196850393704" bottom="0.98425196850393704" header="0.51181102362204722" footer="0.51181102362204722"/>
  <pageSetup paperSize="9" scale="74"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11">
    <tabColor theme="0" tint="-0.34998626667073579"/>
    <pageSetUpPr fitToPage="1"/>
  </sheetPr>
  <dimension ref="B2:GA34"/>
  <sheetViews>
    <sheetView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28515625" defaultRowHeight="15" outlineLevelCol="3"/>
  <cols>
    <col min="1" max="1" width="2.7109375" style="339" customWidth="1"/>
    <col min="2" max="2" width="32" style="339" customWidth="1"/>
    <col min="3" max="3" width="11.28515625" style="339" hidden="1" customWidth="1" outlineLevel="1"/>
    <col min="4" max="7" width="11.28515625" style="339" hidden="1" customWidth="1" outlineLevel="2"/>
    <col min="8" max="8" width="11.28515625" style="339" hidden="1" customWidth="1" outlineLevel="1"/>
    <col min="9" max="12" width="11.28515625" style="339" hidden="1" customWidth="1" outlineLevel="2"/>
    <col min="13" max="13" width="11.28515625" style="339" hidden="1" customWidth="1" outlineLevel="1"/>
    <col min="14" max="17" width="11.28515625" style="339" hidden="1" customWidth="1" outlineLevel="2"/>
    <col min="18" max="22" width="11.28515625" style="339" hidden="1" customWidth="1" outlineLevel="1"/>
    <col min="23" max="23" width="11.28515625" style="339" customWidth="1" collapsed="1"/>
    <col min="24" max="27" width="11.28515625" style="339" hidden="1" customWidth="1" outlineLevel="1"/>
    <col min="28" max="28" width="11.28515625" style="339" hidden="1" customWidth="1" outlineLevel="1" collapsed="1"/>
    <col min="29" max="32" width="11.28515625" style="339" hidden="1" customWidth="1" outlineLevel="2"/>
    <col min="33" max="33" width="11.28515625" style="339" hidden="1" customWidth="1" outlineLevel="1"/>
    <col min="34" max="37" width="11.28515625" style="339" hidden="1" customWidth="1" outlineLevel="2"/>
    <col min="38" max="38" width="11.28515625" style="339" hidden="1" customWidth="1" outlineLevel="1"/>
    <col min="39" max="42" width="11.28515625" style="339" hidden="1" customWidth="1" outlineLevel="2"/>
    <col min="43" max="47" width="11.28515625" style="339" hidden="1" customWidth="1" outlineLevel="1"/>
    <col min="48" max="48" width="11.28515625" style="339" customWidth="1" collapsed="1"/>
    <col min="49" max="52" width="11.28515625" style="339" hidden="1" customWidth="1" outlineLevel="1"/>
    <col min="53" max="53" width="11.28515625" style="339" hidden="1" customWidth="1" outlineLevel="1" collapsed="1"/>
    <col min="54" max="57" width="11.28515625" style="339" hidden="1" customWidth="1" outlineLevel="2"/>
    <col min="58" max="58" width="11.28515625" style="339" hidden="1" customWidth="1" outlineLevel="1"/>
    <col min="59" max="62" width="9.28515625" style="339" hidden="1" customWidth="1" outlineLevel="2"/>
    <col min="63" max="63" width="11.28515625" style="339" hidden="1" customWidth="1" outlineLevel="1"/>
    <col min="64" max="67" width="9.28515625" style="339" hidden="1" customWidth="1" outlineLevel="2"/>
    <col min="68" max="68" width="10.28515625" style="339" hidden="1" customWidth="1" outlineLevel="1"/>
    <col min="69" max="72" width="9.28515625" style="339" hidden="1" customWidth="1" outlineLevel="1"/>
    <col min="73" max="73" width="9.28515625" style="339" customWidth="1" collapsed="1"/>
    <col min="74" max="77" width="9.28515625" style="339" hidden="1" customWidth="1" outlineLevel="1"/>
    <col min="78" max="78" width="10.28515625" style="339" hidden="1" customWidth="1" outlineLevel="1" collapsed="1"/>
    <col min="79" max="82" width="9.28515625" style="339" hidden="1" customWidth="1" outlineLevel="2"/>
    <col min="83" max="83" width="10.42578125" style="339" hidden="1" customWidth="1" outlineLevel="1"/>
    <col min="84" max="87" width="9.28515625" style="339" hidden="1" customWidth="1" outlineLevel="2"/>
    <col min="88" max="88" width="10.28515625" style="339" hidden="1" customWidth="1" outlineLevel="1"/>
    <col min="89" max="92" width="9.28515625" style="339" hidden="1" customWidth="1" outlineLevel="2"/>
    <col min="93" max="93" width="10.28515625" style="339" hidden="1" customWidth="1" outlineLevel="1"/>
    <col min="94" max="97" width="9.28515625" style="339" hidden="1" customWidth="1" outlineLevel="1"/>
    <col min="98" max="98" width="9.28515625" style="339" collapsed="1"/>
    <col min="99" max="102" width="9.28515625" style="339" hidden="1" customWidth="1" outlineLevel="1"/>
    <col min="103" max="103" width="10.28515625" style="339" hidden="1" customWidth="1" outlineLevel="1" collapsed="1"/>
    <col min="104" max="104" width="9.5703125" style="339" hidden="1" customWidth="1" outlineLevel="2"/>
    <col min="105" max="107" width="9.28515625" style="339" hidden="1" customWidth="1" outlineLevel="2"/>
    <col min="108" max="108" width="9.7109375" style="339" hidden="1" customWidth="1" outlineLevel="1" collapsed="1"/>
    <col min="109" max="109" width="10" style="339" hidden="1" customWidth="1" outlineLevel="3"/>
    <col min="110" max="112" width="9.28515625" style="339" hidden="1" customWidth="1" outlineLevel="3"/>
    <col min="113" max="113" width="10" style="339" hidden="1" customWidth="1" outlineLevel="1" collapsed="1"/>
    <col min="114" max="114" width="9.7109375" style="339" hidden="1" customWidth="1" outlineLevel="3"/>
    <col min="115" max="117" width="9.28515625" style="339" hidden="1" customWidth="1" outlineLevel="3"/>
    <col min="118" max="118" width="10" style="339" hidden="1" customWidth="1" outlineLevel="1" collapsed="1"/>
    <col min="119" max="122" width="9.28515625" style="339" hidden="1" customWidth="1" outlineLevel="2"/>
    <col min="123" max="123" width="10.28515625" style="339" customWidth="1" collapsed="1"/>
    <col min="124" max="124" width="9.5703125" style="339" hidden="1" customWidth="1" outlineLevel="1"/>
    <col min="125" max="127" width="9.28515625" style="339" hidden="1" customWidth="1" outlineLevel="1"/>
    <col min="128" max="128" width="10.28515625" style="339" hidden="1" customWidth="1" outlineLevel="1" collapsed="1"/>
    <col min="129" max="129" width="9.5703125" style="339" hidden="1" customWidth="1" outlineLevel="2"/>
    <col min="130" max="132" width="9.28515625" style="339" hidden="1" customWidth="1" outlineLevel="2"/>
    <col min="133" max="133" width="10.28515625" style="339" hidden="1" customWidth="1" outlineLevel="1" collapsed="1"/>
    <col min="134" max="134" width="9.5703125" style="339" hidden="1" customWidth="1" outlineLevel="2"/>
    <col min="135" max="137" width="9.28515625" style="339" hidden="1" customWidth="1" outlineLevel="2"/>
    <col min="138" max="138" width="10.28515625" style="339" hidden="1" customWidth="1" outlineLevel="1" collapsed="1"/>
    <col min="139" max="139" width="9.5703125" style="339" hidden="1" customWidth="1" outlineLevel="2"/>
    <col min="140" max="142" width="9.28515625" style="339" hidden="1" customWidth="1" outlineLevel="2"/>
    <col min="143" max="143" width="10" style="339" hidden="1" customWidth="1" outlineLevel="1" collapsed="1"/>
    <col min="144" max="147" width="9.28515625" style="339" hidden="1" customWidth="1" outlineLevel="2"/>
    <col min="148" max="148" width="10.28515625" style="339" customWidth="1" collapsed="1"/>
    <col min="149" max="149" width="9.5703125" style="339" hidden="1" customWidth="1" outlineLevel="1"/>
    <col min="150" max="152" width="9.28515625" style="339" hidden="1" customWidth="1" outlineLevel="1"/>
    <col min="153" max="153" width="10.28515625" style="339" hidden="1" customWidth="1" outlineLevel="1" collapsed="1"/>
    <col min="154" max="154" width="9.5703125" style="339" hidden="1" customWidth="1" outlineLevel="2"/>
    <col min="155" max="157" width="9.28515625" style="339" hidden="1" customWidth="1" outlineLevel="2"/>
    <col min="158" max="158" width="0" style="339" hidden="1" customWidth="1" outlineLevel="1" collapsed="1"/>
    <col min="159" max="162" width="9.28515625" style="339" hidden="1" customWidth="1" outlineLevel="2"/>
    <col min="163" max="163" width="10.42578125" style="339" hidden="1" customWidth="1" outlineLevel="1" collapsed="1"/>
    <col min="164" max="167" width="9.28515625" style="339" hidden="1" customWidth="1" outlineLevel="2"/>
    <col min="168" max="168" width="10.42578125" style="339" hidden="1" customWidth="1" outlineLevel="1" collapsed="1"/>
    <col min="169" max="172" width="9.28515625" style="339" hidden="1" customWidth="1" outlineLevel="1"/>
    <col min="173" max="173" width="10.42578125" style="339" customWidth="1" collapsed="1"/>
    <col min="174" max="177" width="9.28515625" style="339" hidden="1" customWidth="1" outlineLevel="1"/>
    <col min="178" max="178" width="10.28515625" style="339" customWidth="1" collapsed="1"/>
    <col min="179" max="179" width="9.5703125" style="339" hidden="1" customWidth="1" outlineLevel="1"/>
    <col min="180" max="182" width="9.28515625" style="339" hidden="1" customWidth="1" outlineLevel="1"/>
    <col min="183" max="183" width="9.28515625" style="339" collapsed="1"/>
    <col min="184" max="16384" width="9.28515625" style="339"/>
  </cols>
  <sheetData>
    <row r="2" spans="2:183" ht="15.75">
      <c r="B2" s="742" t="str">
        <f>names!A1911</f>
        <v>Produkcja wolumenowa</v>
      </c>
      <c r="C2" s="743"/>
      <c r="D2" s="743"/>
      <c r="E2" s="743"/>
      <c r="F2" s="743"/>
      <c r="G2" s="743"/>
      <c r="H2" s="743"/>
      <c r="I2" s="743"/>
      <c r="J2" s="743"/>
      <c r="K2" s="743"/>
      <c r="L2" s="743"/>
      <c r="M2" s="743"/>
      <c r="N2" s="743"/>
      <c r="O2" s="743"/>
      <c r="P2" s="743"/>
      <c r="Q2" s="743"/>
      <c r="R2" s="743"/>
      <c r="S2" s="743"/>
      <c r="T2" s="743"/>
      <c r="U2" s="743"/>
      <c r="V2" s="743"/>
      <c r="W2" s="743"/>
      <c r="X2" s="743"/>
      <c r="Y2" s="743"/>
      <c r="Z2" s="743"/>
      <c r="AA2" s="743"/>
      <c r="AB2" s="743"/>
      <c r="AC2" s="743"/>
      <c r="AD2" s="743"/>
      <c r="AE2" s="743"/>
      <c r="AF2" s="743"/>
      <c r="AG2" s="743"/>
      <c r="AH2" s="743"/>
      <c r="AI2" s="743"/>
      <c r="AJ2" s="743"/>
      <c r="AK2" s="743"/>
      <c r="AL2" s="743"/>
      <c r="AM2" s="743"/>
      <c r="AN2" s="743"/>
      <c r="AO2" s="743"/>
      <c r="AP2" s="743"/>
      <c r="AQ2" s="743"/>
      <c r="AR2" s="743"/>
      <c r="AS2" s="743"/>
      <c r="AT2" s="743"/>
      <c r="AU2" s="743"/>
      <c r="AV2" s="743"/>
      <c r="AW2" s="743"/>
      <c r="AX2" s="743"/>
      <c r="AY2" s="743"/>
      <c r="AZ2" s="743"/>
      <c r="BA2" s="743"/>
      <c r="BB2" s="743"/>
      <c r="BC2" s="743"/>
      <c r="BD2" s="743"/>
      <c r="BE2" s="743"/>
      <c r="BF2" s="743"/>
      <c r="BG2" s="743"/>
      <c r="BH2" s="743"/>
      <c r="BI2" s="743"/>
      <c r="BJ2" s="743"/>
      <c r="BK2" s="743"/>
      <c r="BL2" s="743"/>
      <c r="BM2" s="743"/>
      <c r="BN2" s="743"/>
      <c r="BO2" s="743"/>
      <c r="BP2" s="743"/>
      <c r="BQ2" s="743"/>
      <c r="BR2" s="743"/>
      <c r="BS2" s="743"/>
      <c r="BT2" s="743"/>
      <c r="BU2" s="743"/>
      <c r="BV2" s="743"/>
      <c r="BW2" s="743"/>
      <c r="BX2" s="743"/>
      <c r="BY2" s="743"/>
      <c r="BZ2" s="743"/>
      <c r="CA2" s="743"/>
      <c r="CB2" s="743"/>
      <c r="CC2" s="743"/>
      <c r="CD2" s="743"/>
      <c r="CE2" s="743"/>
      <c r="CF2" s="743"/>
      <c r="CG2" s="743"/>
      <c r="CH2" s="743"/>
      <c r="CI2" s="743"/>
      <c r="CJ2" s="743"/>
      <c r="CK2" s="743"/>
      <c r="CL2" s="743"/>
      <c r="CM2" s="743"/>
      <c r="CN2" s="743"/>
      <c r="CO2" s="743"/>
      <c r="CP2" s="743"/>
      <c r="CQ2" s="743"/>
      <c r="CR2" s="743"/>
      <c r="CS2" s="743"/>
      <c r="CT2" s="743"/>
      <c r="CU2" s="743"/>
      <c r="CV2" s="743"/>
      <c r="CW2" s="743"/>
      <c r="CX2" s="743"/>
      <c r="CY2" s="743"/>
      <c r="CZ2" s="743"/>
      <c r="DA2" s="743"/>
      <c r="DB2" s="743"/>
      <c r="DC2" s="743"/>
      <c r="DD2" s="743"/>
      <c r="DE2" s="743"/>
      <c r="DF2" s="743"/>
      <c r="DG2" s="743"/>
      <c r="DH2" s="743"/>
      <c r="DI2" s="743"/>
      <c r="DJ2" s="743"/>
      <c r="DK2" s="743"/>
      <c r="DL2" s="743"/>
      <c r="DM2" s="743"/>
      <c r="DN2" s="743"/>
      <c r="DO2" s="743"/>
      <c r="DP2" s="743"/>
      <c r="DQ2" s="743"/>
      <c r="DR2" s="743"/>
      <c r="DS2" s="743"/>
      <c r="DT2" s="743"/>
      <c r="DU2" s="743"/>
      <c r="DV2" s="743"/>
      <c r="DW2" s="743"/>
      <c r="DX2" s="743"/>
      <c r="DY2" s="743"/>
      <c r="DZ2" s="743"/>
      <c r="EA2" s="743"/>
      <c r="EB2" s="743"/>
      <c r="EC2" s="743"/>
      <c r="ED2" s="743"/>
      <c r="EE2" s="743"/>
      <c r="EF2" s="743"/>
      <c r="EG2" s="743"/>
      <c r="EH2" s="743"/>
      <c r="EI2" s="743"/>
      <c r="EJ2" s="743"/>
      <c r="EK2" s="743"/>
      <c r="EL2" s="743"/>
      <c r="EM2" s="743"/>
      <c r="EN2" s="743"/>
      <c r="EO2" s="743"/>
      <c r="EP2" s="743"/>
      <c r="EQ2" s="743"/>
      <c r="ER2" s="743"/>
      <c r="ES2" s="743"/>
      <c r="ET2" s="743"/>
      <c r="EU2" s="743"/>
      <c r="EV2" s="743"/>
      <c r="EW2" s="743"/>
      <c r="EX2" s="743"/>
      <c r="EY2" s="743"/>
      <c r="EZ2" s="743"/>
      <c r="FA2" s="743"/>
      <c r="FB2" s="743"/>
      <c r="FC2" s="743"/>
      <c r="FD2" s="743"/>
      <c r="FE2" s="743"/>
      <c r="FF2" s="743"/>
      <c r="FG2" s="743"/>
      <c r="FH2" s="743"/>
      <c r="FI2" s="743"/>
      <c r="FJ2" s="743"/>
      <c r="FK2" s="743"/>
      <c r="FL2" s="743"/>
      <c r="FM2" s="743"/>
      <c r="FN2" s="743"/>
      <c r="FO2" s="743"/>
      <c r="FP2" s="743"/>
      <c r="FQ2" s="743"/>
      <c r="FR2" s="743"/>
      <c r="FS2" s="743"/>
      <c r="FT2" s="743"/>
      <c r="FU2" s="743"/>
      <c r="FV2" s="743"/>
      <c r="FW2" s="743"/>
      <c r="FX2" s="743"/>
      <c r="FY2" s="743"/>
      <c r="FZ2" s="743"/>
      <c r="GA2" s="577"/>
    </row>
    <row r="3" spans="2:183" ht="9" customHeight="1">
      <c r="B3" s="743"/>
      <c r="C3" s="743"/>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c r="AD3" s="743"/>
      <c r="AE3" s="743"/>
      <c r="AF3" s="743"/>
      <c r="AG3" s="743"/>
      <c r="AH3" s="743"/>
      <c r="AI3" s="743"/>
      <c r="AJ3" s="743"/>
      <c r="AK3" s="743"/>
      <c r="AL3" s="743"/>
      <c r="AM3" s="743"/>
      <c r="AN3" s="743"/>
      <c r="AO3" s="743"/>
      <c r="AP3" s="743"/>
      <c r="AQ3" s="743"/>
      <c r="AR3" s="743"/>
      <c r="AS3" s="743"/>
      <c r="AT3" s="743"/>
      <c r="AU3" s="743"/>
      <c r="AV3" s="743"/>
      <c r="AW3" s="743"/>
      <c r="AX3" s="743"/>
      <c r="AY3" s="743"/>
      <c r="AZ3" s="743"/>
      <c r="BA3" s="743"/>
      <c r="BB3" s="743"/>
      <c r="BC3" s="743"/>
      <c r="BD3" s="743"/>
      <c r="BE3" s="743"/>
      <c r="BF3" s="743"/>
      <c r="BG3" s="743"/>
      <c r="BH3" s="743"/>
      <c r="BI3" s="743"/>
      <c r="BJ3" s="743"/>
      <c r="BK3" s="743"/>
      <c r="BL3" s="743"/>
      <c r="BM3" s="743"/>
      <c r="BN3" s="743"/>
      <c r="BO3" s="743"/>
      <c r="BP3" s="743"/>
      <c r="BQ3" s="743"/>
      <c r="BR3" s="743"/>
      <c r="BS3" s="743"/>
      <c r="BT3" s="743"/>
      <c r="BU3" s="743"/>
      <c r="BV3" s="743"/>
      <c r="BW3" s="743"/>
      <c r="BX3" s="743"/>
      <c r="BY3" s="743"/>
      <c r="BZ3" s="743"/>
      <c r="CA3" s="743"/>
      <c r="CB3" s="743"/>
      <c r="CC3" s="743"/>
      <c r="CD3" s="743"/>
      <c r="CE3" s="743"/>
      <c r="CF3" s="743"/>
      <c r="CG3" s="743"/>
      <c r="CH3" s="743"/>
      <c r="CI3" s="743"/>
      <c r="CJ3" s="743"/>
      <c r="CK3" s="743"/>
      <c r="CL3" s="743"/>
      <c r="CM3" s="743"/>
      <c r="CN3" s="743"/>
      <c r="CO3" s="743"/>
      <c r="CP3" s="743"/>
      <c r="CQ3" s="743"/>
      <c r="CR3" s="743"/>
      <c r="CS3" s="743"/>
      <c r="CT3" s="743"/>
      <c r="CU3" s="743"/>
      <c r="CV3" s="743"/>
      <c r="CW3" s="743"/>
      <c r="CX3" s="743"/>
      <c r="CY3" s="743"/>
      <c r="CZ3" s="743"/>
      <c r="DA3" s="743"/>
      <c r="DB3" s="743"/>
      <c r="DC3" s="743"/>
      <c r="DD3" s="743"/>
      <c r="DE3" s="743"/>
      <c r="DF3" s="743"/>
      <c r="DG3" s="743"/>
      <c r="DH3" s="743"/>
      <c r="DI3" s="743"/>
      <c r="DJ3" s="743"/>
      <c r="DK3" s="743"/>
      <c r="DL3" s="743"/>
      <c r="DM3" s="743"/>
      <c r="DN3" s="743"/>
      <c r="DO3" s="743"/>
      <c r="DP3" s="743"/>
      <c r="DQ3" s="743"/>
      <c r="DR3" s="743"/>
      <c r="DS3" s="743"/>
      <c r="DT3" s="743"/>
      <c r="DU3" s="743"/>
      <c r="DV3" s="743"/>
      <c r="DW3" s="743"/>
      <c r="DX3" s="743"/>
      <c r="DY3" s="743"/>
      <c r="DZ3" s="743"/>
      <c r="EA3" s="743"/>
      <c r="EB3" s="743"/>
      <c r="EC3" s="743"/>
      <c r="ED3" s="743"/>
      <c r="EE3" s="743"/>
      <c r="EF3" s="743"/>
      <c r="EG3" s="743"/>
      <c r="EH3" s="743"/>
      <c r="EI3" s="743"/>
      <c r="EJ3" s="743"/>
      <c r="EK3" s="743"/>
      <c r="EL3" s="743"/>
      <c r="EM3" s="743"/>
      <c r="EN3" s="743"/>
      <c r="EO3" s="743"/>
      <c r="EP3" s="743"/>
      <c r="EQ3" s="743"/>
      <c r="ER3" s="743"/>
      <c r="ES3" s="743"/>
      <c r="ET3" s="743"/>
      <c r="EU3" s="743"/>
      <c r="EV3" s="743"/>
      <c r="EW3" s="743"/>
      <c r="EX3" s="743"/>
      <c r="EY3" s="743"/>
      <c r="EZ3" s="743"/>
      <c r="FA3" s="743"/>
      <c r="FB3" s="743"/>
      <c r="FC3" s="743"/>
      <c r="FD3" s="743"/>
      <c r="FE3" s="743"/>
      <c r="FF3" s="743"/>
      <c r="FG3" s="743"/>
      <c r="FH3" s="743"/>
      <c r="FI3" s="743"/>
      <c r="FJ3" s="743"/>
      <c r="FK3" s="743"/>
      <c r="FL3" s="743"/>
      <c r="FM3" s="743"/>
      <c r="FN3" s="743"/>
      <c r="FO3" s="743"/>
      <c r="FP3" s="743"/>
      <c r="FQ3" s="743"/>
      <c r="FR3" s="743"/>
      <c r="FS3" s="743"/>
      <c r="FT3" s="743"/>
      <c r="FU3" s="743"/>
      <c r="FV3" s="743"/>
      <c r="FW3" s="743"/>
      <c r="FX3" s="743"/>
      <c r="FY3" s="743"/>
      <c r="FZ3" s="743"/>
      <c r="GA3" s="577"/>
    </row>
    <row r="4" spans="2:183" ht="22.5">
      <c r="B4" s="338" t="str">
        <f>names!A1913</f>
        <v>Produkcja
tys. ton</v>
      </c>
      <c r="C4" s="1016" t="str">
        <f>names!$A499</f>
        <v>I kw.
2013 *</v>
      </c>
      <c r="D4" s="1017"/>
      <c r="E4" s="1017"/>
      <c r="F4" s="1017"/>
      <c r="G4" s="1018"/>
      <c r="H4" s="1016" t="str">
        <f>names!$A500</f>
        <v>II kw.
2013 *</v>
      </c>
      <c r="I4" s="1017"/>
      <c r="J4" s="1017"/>
      <c r="K4" s="1017"/>
      <c r="L4" s="1018"/>
      <c r="M4" s="1016" t="str">
        <f>names!$A501</f>
        <v>III kw.
2013 *</v>
      </c>
      <c r="N4" s="1017"/>
      <c r="O4" s="1017"/>
      <c r="P4" s="1017"/>
      <c r="Q4" s="1018"/>
      <c r="R4" s="1016" t="str">
        <f>names!$A502</f>
        <v>IV kw.
2013 *</v>
      </c>
      <c r="S4" s="1017" t="str">
        <f>names!$A502</f>
        <v>IV kw.
2013 *</v>
      </c>
      <c r="T4" s="1017" t="str">
        <f>names!$A502</f>
        <v>IV kw.
2013 *</v>
      </c>
      <c r="U4" s="1017" t="str">
        <f>names!$A502</f>
        <v>IV kw.
2013 *</v>
      </c>
      <c r="V4" s="1018" t="str">
        <f>names!$A502</f>
        <v>IV kw.
2013 *</v>
      </c>
      <c r="W4" s="1016" t="str">
        <f>names!A1930</f>
        <v>Rok 2013 *</v>
      </c>
      <c r="X4" s="1017"/>
      <c r="Y4" s="1017"/>
      <c r="Z4" s="1017"/>
      <c r="AA4" s="1018"/>
      <c r="AB4" s="1016" t="str">
        <f>names!$A504</f>
        <v>I kw.
2014</v>
      </c>
      <c r="AC4" s="1017" t="str">
        <f>names!$A502</f>
        <v>IV kw.
2013 *</v>
      </c>
      <c r="AD4" s="1017" t="str">
        <f>names!$A502</f>
        <v>IV kw.
2013 *</v>
      </c>
      <c r="AE4" s="1017" t="str">
        <f>names!$A502</f>
        <v>IV kw.
2013 *</v>
      </c>
      <c r="AF4" s="1018" t="str">
        <f>names!$A502</f>
        <v>IV kw.
2013 *</v>
      </c>
      <c r="AG4" s="1016" t="str">
        <f>names!$A505</f>
        <v>II kw.
2014</v>
      </c>
      <c r="AH4" s="1017" t="str">
        <f>names!$A502</f>
        <v>IV kw.
2013 *</v>
      </c>
      <c r="AI4" s="1017" t="str">
        <f>names!$A502</f>
        <v>IV kw.
2013 *</v>
      </c>
      <c r="AJ4" s="1017" t="str">
        <f>names!$A502</f>
        <v>IV kw.
2013 *</v>
      </c>
      <c r="AK4" s="1018" t="str">
        <f>names!$A502</f>
        <v>IV kw.
2013 *</v>
      </c>
      <c r="AL4" s="1016" t="str">
        <f>names!$A506</f>
        <v>III kw.
2014</v>
      </c>
      <c r="AM4" s="1017" t="str">
        <f>names!$A502</f>
        <v>IV kw.
2013 *</v>
      </c>
      <c r="AN4" s="1017" t="str">
        <f>names!$A502</f>
        <v>IV kw.
2013 *</v>
      </c>
      <c r="AO4" s="1017" t="str">
        <f>names!$A502</f>
        <v>IV kw.
2013 *</v>
      </c>
      <c r="AP4" s="1018" t="str">
        <f>names!$A502</f>
        <v>IV kw.
2013 *</v>
      </c>
      <c r="AQ4" s="1016" t="str">
        <f>names!$A507</f>
        <v>IV kw.
2014</v>
      </c>
      <c r="AR4" s="1017" t="str">
        <f>names!$A502</f>
        <v>IV kw.
2013 *</v>
      </c>
      <c r="AS4" s="1017" t="str">
        <f>names!$A502</f>
        <v>IV kw.
2013 *</v>
      </c>
      <c r="AT4" s="1017" t="str">
        <f>names!$A502</f>
        <v>IV kw.
2013 *</v>
      </c>
      <c r="AU4" s="1018" t="str">
        <f>names!$A502</f>
        <v>IV kw.
2013 *</v>
      </c>
      <c r="AV4" s="1016" t="str">
        <f>names!A1931</f>
        <v>Rok 2014</v>
      </c>
      <c r="AW4" s="1017"/>
      <c r="AX4" s="1017"/>
      <c r="AY4" s="1017"/>
      <c r="AZ4" s="1018"/>
      <c r="BA4" s="1016" t="str">
        <f>names!$A509</f>
        <v>I kw.
2015</v>
      </c>
      <c r="BB4" s="1017" t="str">
        <f>names!$A502</f>
        <v>IV kw.
2013 *</v>
      </c>
      <c r="BC4" s="1017" t="str">
        <f>names!$A502</f>
        <v>IV kw.
2013 *</v>
      </c>
      <c r="BD4" s="1017" t="str">
        <f>names!$A502</f>
        <v>IV kw.
2013 *</v>
      </c>
      <c r="BE4" s="1018" t="str">
        <f>names!$A502</f>
        <v>IV kw.
2013 *</v>
      </c>
      <c r="BF4" s="1016" t="str">
        <f>names!$A510</f>
        <v>II kw.
2015</v>
      </c>
      <c r="BG4" s="1017" t="str">
        <f>names!$A502</f>
        <v>IV kw.
2013 *</v>
      </c>
      <c r="BH4" s="1017" t="str">
        <f>names!$A502</f>
        <v>IV kw.
2013 *</v>
      </c>
      <c r="BI4" s="1017" t="str">
        <f>names!$A502</f>
        <v>IV kw.
2013 *</v>
      </c>
      <c r="BJ4" s="1018" t="str">
        <f>names!$A502</f>
        <v>IV kw.
2013 *</v>
      </c>
      <c r="BK4" s="1016" t="str">
        <f>names!$A511</f>
        <v>III kw.
2015</v>
      </c>
      <c r="BL4" s="1017" t="str">
        <f>names!$A502</f>
        <v>IV kw.
2013 *</v>
      </c>
      <c r="BM4" s="1017" t="str">
        <f>names!$A502</f>
        <v>IV kw.
2013 *</v>
      </c>
      <c r="BN4" s="1017" t="str">
        <f>names!$A502</f>
        <v>IV kw.
2013 *</v>
      </c>
      <c r="BO4" s="1018" t="str">
        <f>names!$A502</f>
        <v>IV kw.
2013 *</v>
      </c>
      <c r="BP4" s="1016" t="str">
        <f>names!$A512</f>
        <v>IV kw.
2015</v>
      </c>
      <c r="BQ4" s="1017" t="str">
        <f>names!$A502</f>
        <v>IV kw.
2013 *</v>
      </c>
      <c r="BR4" s="1017" t="str">
        <f>names!$A502</f>
        <v>IV kw.
2013 *</v>
      </c>
      <c r="BS4" s="1017" t="str">
        <f>names!$A502</f>
        <v>IV kw.
2013 *</v>
      </c>
      <c r="BT4" s="1018" t="str">
        <f>names!$A502</f>
        <v>IV kw.
2013 *</v>
      </c>
      <c r="BU4" s="1016" t="str">
        <f>names!A1932</f>
        <v>Rok 2015</v>
      </c>
      <c r="BV4" s="1017"/>
      <c r="BW4" s="1017"/>
      <c r="BX4" s="1017"/>
      <c r="BY4" s="1018"/>
      <c r="BZ4" s="1016" t="str">
        <f>names!$A514</f>
        <v>I kw.
2016</v>
      </c>
      <c r="CA4" s="1017" t="str">
        <f>names!$A502</f>
        <v>IV kw.
2013 *</v>
      </c>
      <c r="CB4" s="1017" t="str">
        <f>names!$A502</f>
        <v>IV kw.
2013 *</v>
      </c>
      <c r="CC4" s="1017" t="str">
        <f>names!$A502</f>
        <v>IV kw.
2013 *</v>
      </c>
      <c r="CD4" s="1018" t="str">
        <f>names!$A502</f>
        <v>IV kw.
2013 *</v>
      </c>
      <c r="CE4" s="1016" t="str">
        <f>names!$A515</f>
        <v>II kw.
2016</v>
      </c>
      <c r="CF4" s="1017" t="str">
        <f>names!$A502</f>
        <v>IV kw.
2013 *</v>
      </c>
      <c r="CG4" s="1017" t="str">
        <f>names!$A502</f>
        <v>IV kw.
2013 *</v>
      </c>
      <c r="CH4" s="1017" t="str">
        <f>names!$A502</f>
        <v>IV kw.
2013 *</v>
      </c>
      <c r="CI4" s="1018" t="str">
        <f>names!$A502</f>
        <v>IV kw.
2013 *</v>
      </c>
      <c r="CJ4" s="1016" t="str">
        <f>names!$A516</f>
        <v>III kw.
2016</v>
      </c>
      <c r="CK4" s="1017" t="str">
        <f>names!$A502</f>
        <v>IV kw.
2013 *</v>
      </c>
      <c r="CL4" s="1017" t="str">
        <f>names!$A502</f>
        <v>IV kw.
2013 *</v>
      </c>
      <c r="CM4" s="1017" t="str">
        <f>names!$A502</f>
        <v>IV kw.
2013 *</v>
      </c>
      <c r="CN4" s="1018" t="str">
        <f>names!$A502</f>
        <v>IV kw.
2013 *</v>
      </c>
      <c r="CO4" s="1016" t="str">
        <f>names!$A517</f>
        <v>IV kw.
2016</v>
      </c>
      <c r="CP4" s="1017" t="str">
        <f>names!$A502</f>
        <v>IV kw.
2013 *</v>
      </c>
      <c r="CQ4" s="1017" t="str">
        <f>names!$A502</f>
        <v>IV kw.
2013 *</v>
      </c>
      <c r="CR4" s="1017" t="str">
        <f>names!$A502</f>
        <v>IV kw.
2013 *</v>
      </c>
      <c r="CS4" s="1018" t="str">
        <f>names!$A502</f>
        <v>IV kw.
2013 *</v>
      </c>
      <c r="CT4" s="1016" t="str">
        <f>names!$A1933</f>
        <v>Rok 2016</v>
      </c>
      <c r="CU4" s="1017"/>
      <c r="CV4" s="1017"/>
      <c r="CW4" s="1017"/>
      <c r="CX4" s="1018"/>
      <c r="CY4" s="1016" t="str">
        <f>names!$A519</f>
        <v>I kw.
2017</v>
      </c>
      <c r="CZ4" s="1017" t="str">
        <f>names!$A502</f>
        <v>IV kw.
2013 *</v>
      </c>
      <c r="DA4" s="1017" t="str">
        <f>names!$A502</f>
        <v>IV kw.
2013 *</v>
      </c>
      <c r="DB4" s="1017" t="str">
        <f>names!$A502</f>
        <v>IV kw.
2013 *</v>
      </c>
      <c r="DC4" s="1018" t="str">
        <f>names!$A502</f>
        <v>IV kw.
2013 *</v>
      </c>
      <c r="DD4" s="1016" t="str">
        <f>names!$A520</f>
        <v>II kw.
2017</v>
      </c>
      <c r="DE4" s="1017" t="str">
        <f>names!$A502</f>
        <v>IV kw.
2013 *</v>
      </c>
      <c r="DF4" s="1017" t="str">
        <f>names!$A502</f>
        <v>IV kw.
2013 *</v>
      </c>
      <c r="DG4" s="1017" t="str">
        <f>names!$A502</f>
        <v>IV kw.
2013 *</v>
      </c>
      <c r="DH4" s="1018" t="str">
        <f>names!$A502</f>
        <v>IV kw.
2013 *</v>
      </c>
      <c r="DI4" s="1016" t="str">
        <f>names!$A521</f>
        <v>III kw.
2017</v>
      </c>
      <c r="DJ4" s="1017" t="str">
        <f>names!$A502</f>
        <v>IV kw.
2013 *</v>
      </c>
      <c r="DK4" s="1017" t="str">
        <f>names!$A502</f>
        <v>IV kw.
2013 *</v>
      </c>
      <c r="DL4" s="1017" t="str">
        <f>names!$A502</f>
        <v>IV kw.
2013 *</v>
      </c>
      <c r="DM4" s="1018" t="str">
        <f>names!$A502</f>
        <v>IV kw.
2013 *</v>
      </c>
      <c r="DN4" s="1016" t="str">
        <f>names!$A522</f>
        <v>IV kw.
2017</v>
      </c>
      <c r="DO4" s="1017" t="str">
        <f>names!$A502</f>
        <v>IV kw.
2013 *</v>
      </c>
      <c r="DP4" s="1017" t="str">
        <f>names!$A502</f>
        <v>IV kw.
2013 *</v>
      </c>
      <c r="DQ4" s="1017" t="str">
        <f>names!$A502</f>
        <v>IV kw.
2013 *</v>
      </c>
      <c r="DR4" s="1018" t="str">
        <f>names!$A502</f>
        <v>IV kw.
2013 *</v>
      </c>
      <c r="DS4" s="1016" t="str">
        <f>names!$A1934</f>
        <v>Rok 2017</v>
      </c>
      <c r="DT4" s="1017"/>
      <c r="DU4" s="1017"/>
      <c r="DV4" s="1017"/>
      <c r="DW4" s="1018"/>
      <c r="DX4" s="1016" t="str">
        <f>names!$A524</f>
        <v>I kw.
2018</v>
      </c>
      <c r="DY4" s="1017" t="str">
        <f>names!$A502</f>
        <v>IV kw.
2013 *</v>
      </c>
      <c r="DZ4" s="1017" t="str">
        <f>names!$A502</f>
        <v>IV kw.
2013 *</v>
      </c>
      <c r="EA4" s="1017" t="str">
        <f>names!$A502</f>
        <v>IV kw.
2013 *</v>
      </c>
      <c r="EB4" s="1018" t="str">
        <f>names!$A502</f>
        <v>IV kw.
2013 *</v>
      </c>
      <c r="EC4" s="1016" t="str">
        <f>names!$A525</f>
        <v>II kw.
2018</v>
      </c>
      <c r="ED4" s="1017" t="str">
        <f>names!$A502</f>
        <v>IV kw.
2013 *</v>
      </c>
      <c r="EE4" s="1017" t="str">
        <f>names!$A502</f>
        <v>IV kw.
2013 *</v>
      </c>
      <c r="EF4" s="1017" t="str">
        <f>names!$A502</f>
        <v>IV kw.
2013 *</v>
      </c>
      <c r="EG4" s="1018" t="str">
        <f>names!$A502</f>
        <v>IV kw.
2013 *</v>
      </c>
      <c r="EH4" s="1016" t="str">
        <f>names!$A526</f>
        <v>III kw.
2018</v>
      </c>
      <c r="EI4" s="1017" t="str">
        <f>names!$A502</f>
        <v>IV kw.
2013 *</v>
      </c>
      <c r="EJ4" s="1017" t="str">
        <f>names!$A502</f>
        <v>IV kw.
2013 *</v>
      </c>
      <c r="EK4" s="1017" t="str">
        <f>names!$A502</f>
        <v>IV kw.
2013 *</v>
      </c>
      <c r="EL4" s="1018" t="str">
        <f>names!$A502</f>
        <v>IV kw.
2013 *</v>
      </c>
      <c r="EM4" s="1016" t="str">
        <f>names!$A527</f>
        <v>IV kw.
2018 ***</v>
      </c>
      <c r="EN4" s="1017" t="str">
        <f>names!$A502</f>
        <v>IV kw.
2013 *</v>
      </c>
      <c r="EO4" s="1017" t="str">
        <f>names!$A502</f>
        <v>IV kw.
2013 *</v>
      </c>
      <c r="EP4" s="1017" t="str">
        <f>names!$A502</f>
        <v>IV kw.
2013 *</v>
      </c>
      <c r="EQ4" s="1018" t="str">
        <f>names!$A502</f>
        <v>IV kw.
2013 *</v>
      </c>
      <c r="ER4" s="1016" t="str">
        <f>names!$A1935</f>
        <v>Rok 2018</v>
      </c>
      <c r="ES4" s="1017"/>
      <c r="ET4" s="1017"/>
      <c r="EU4" s="1017"/>
      <c r="EV4" s="1018"/>
      <c r="EW4" s="1016" t="str">
        <f>names!$A531</f>
        <v>I kw.
2019</v>
      </c>
      <c r="EX4" s="1017" t="str">
        <f>names!$A502</f>
        <v>IV kw.
2013 *</v>
      </c>
      <c r="EY4" s="1017" t="str">
        <f>names!$A502</f>
        <v>IV kw.
2013 *</v>
      </c>
      <c r="EZ4" s="1017" t="str">
        <f>names!$A502</f>
        <v>IV kw.
2013 *</v>
      </c>
      <c r="FA4" s="1018" t="str">
        <f>names!$A502</f>
        <v>IV kw.
2013 *</v>
      </c>
      <c r="FB4" s="1016" t="str">
        <f>names!$A532</f>
        <v>II kw.
2019</v>
      </c>
      <c r="FC4" s="1017" t="str">
        <f>names!$A502</f>
        <v>IV kw.
2013 *</v>
      </c>
      <c r="FD4" s="1017" t="str">
        <f>names!$A502</f>
        <v>IV kw.
2013 *</v>
      </c>
      <c r="FE4" s="1017" t="str">
        <f>names!$A502</f>
        <v>IV kw.
2013 *</v>
      </c>
      <c r="FF4" s="1018" t="str">
        <f>names!$A502</f>
        <v>IV kw.
2013 *</v>
      </c>
      <c r="FG4" s="1016" t="str">
        <f>names!$A533</f>
        <v>III kw.
2019</v>
      </c>
      <c r="FH4" s="1017" t="str">
        <f>names!$A502</f>
        <v>IV kw.
2013 *</v>
      </c>
      <c r="FI4" s="1017" t="str">
        <f>names!$A502</f>
        <v>IV kw.
2013 *</v>
      </c>
      <c r="FJ4" s="1017" t="str">
        <f>names!$A502</f>
        <v>IV kw.
2013 *</v>
      </c>
      <c r="FK4" s="1018" t="str">
        <f>names!$A502</f>
        <v>IV kw.
2013 *</v>
      </c>
      <c r="FL4" s="1016" t="str">
        <f>names!$A534</f>
        <v>IV kw.
2019</v>
      </c>
      <c r="FM4" s="1017" t="str">
        <f>names!$A502</f>
        <v>IV kw.
2013 *</v>
      </c>
      <c r="FN4" s="1017" t="str">
        <f>names!$A502</f>
        <v>IV kw.
2013 *</v>
      </c>
      <c r="FO4" s="1017" t="str">
        <f>names!$A502</f>
        <v>IV kw.
2013 *</v>
      </c>
      <c r="FP4" s="1018" t="str">
        <f>names!$A502</f>
        <v>IV kw.
2013 *</v>
      </c>
      <c r="FQ4" s="1016" t="str">
        <f>names!$A1936</f>
        <v>Rok 2019</v>
      </c>
      <c r="FR4" s="1017"/>
      <c r="FS4" s="1017"/>
      <c r="FT4" s="1017"/>
      <c r="FU4" s="1018"/>
      <c r="FV4" s="1016" t="str">
        <f>names!$A536</f>
        <v>I kw.
2020</v>
      </c>
      <c r="FW4" s="1017" t="str">
        <f>names!$A502</f>
        <v>IV kw.
2013 *</v>
      </c>
      <c r="FX4" s="1017" t="str">
        <f>names!$A502</f>
        <v>IV kw.
2013 *</v>
      </c>
      <c r="FY4" s="1017" t="str">
        <f>names!$A502</f>
        <v>IV kw.
2013 *</v>
      </c>
      <c r="FZ4" s="1018" t="str">
        <f>names!$A502</f>
        <v>IV kw.
2013 *</v>
      </c>
      <c r="GA4" s="577"/>
    </row>
    <row r="5" spans="2:183" ht="15.75" thickBot="1">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c r="DQ5" s="340"/>
      <c r="DR5" s="340"/>
      <c r="DS5" s="340"/>
      <c r="DT5" s="340"/>
      <c r="DU5" s="340"/>
      <c r="DV5" s="340"/>
      <c r="DW5" s="340"/>
      <c r="DX5" s="340"/>
      <c r="DY5" s="340"/>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c r="EX5" s="340"/>
      <c r="EY5" s="340"/>
      <c r="EZ5" s="340"/>
      <c r="FA5" s="340"/>
      <c r="FB5" s="340"/>
      <c r="FC5" s="340"/>
      <c r="FD5" s="340"/>
      <c r="FE5" s="340"/>
      <c r="FF5" s="340"/>
      <c r="FG5" s="340"/>
      <c r="FH5" s="340"/>
      <c r="FI5" s="340"/>
      <c r="FJ5" s="340"/>
      <c r="FK5" s="340"/>
      <c r="FL5" s="340"/>
      <c r="FM5" s="340"/>
      <c r="FN5" s="340"/>
      <c r="FO5" s="340"/>
      <c r="FP5" s="340"/>
      <c r="FQ5" s="340"/>
      <c r="FR5" s="340"/>
      <c r="FS5" s="340"/>
      <c r="FT5" s="340"/>
      <c r="FU5" s="340"/>
      <c r="FV5" s="340"/>
      <c r="FW5" s="340"/>
      <c r="FX5" s="340"/>
      <c r="FY5" s="340"/>
      <c r="FZ5" s="340"/>
      <c r="GA5" s="577"/>
    </row>
    <row r="6" spans="2:183" ht="31.9" customHeight="1" thickBot="1">
      <c r="B6" s="341" t="str">
        <f>names!A1915</f>
        <v>Segment 
Downstream</v>
      </c>
      <c r="C6" s="342" t="str">
        <f>names!$A790</f>
        <v>GK 
ORLEN</v>
      </c>
      <c r="D6" s="343" t="str">
        <f>names!$A791</f>
        <v>ORLEN 
S.A.</v>
      </c>
      <c r="E6" s="343" t="str">
        <f>names!$A792</f>
        <v>Grupa 
Unipetrol</v>
      </c>
      <c r="F6" s="343" t="str">
        <f>names!$A793</f>
        <v>ORLEN 
Lietuva</v>
      </c>
      <c r="G6" s="343" t="str">
        <f>names!$A794</f>
        <v>Grupa 
Anwil</v>
      </c>
      <c r="H6" s="342" t="str">
        <f>C6</f>
        <v>GK 
ORLEN</v>
      </c>
      <c r="I6" s="343" t="str">
        <f>$D$6</f>
        <v>ORLEN 
S.A.</v>
      </c>
      <c r="J6" s="343" t="str">
        <f>$E$6</f>
        <v>Grupa 
Unipetrol</v>
      </c>
      <c r="K6" s="343" t="str">
        <f>$F$6</f>
        <v>ORLEN 
Lietuva</v>
      </c>
      <c r="L6" s="343" t="str">
        <f>$G$6</f>
        <v>Grupa 
Anwil</v>
      </c>
      <c r="M6" s="342" t="str">
        <f>H6</f>
        <v>GK 
ORLEN</v>
      </c>
      <c r="N6" s="343" t="str">
        <f>$D$6</f>
        <v>ORLEN 
S.A.</v>
      </c>
      <c r="O6" s="343" t="str">
        <f>$E$6</f>
        <v>Grupa 
Unipetrol</v>
      </c>
      <c r="P6" s="343" t="str">
        <f>$F$6</f>
        <v>ORLEN 
Lietuva</v>
      </c>
      <c r="Q6" s="343" t="str">
        <f>$G$6</f>
        <v>Grupa 
Anwil</v>
      </c>
      <c r="R6" s="342" t="str">
        <f>M6</f>
        <v>GK 
ORLEN</v>
      </c>
      <c r="S6" s="343" t="str">
        <f>$D$6</f>
        <v>ORLEN 
S.A.</v>
      </c>
      <c r="T6" s="343" t="str">
        <f>$E$6</f>
        <v>Grupa 
Unipetrol</v>
      </c>
      <c r="U6" s="343" t="str">
        <f>$F$6</f>
        <v>ORLEN 
Lietuva</v>
      </c>
      <c r="V6" s="343" t="str">
        <f>$G$6</f>
        <v>Grupa 
Anwil</v>
      </c>
      <c r="W6" s="342" t="str">
        <f>R6</f>
        <v>GK 
ORLEN</v>
      </c>
      <c r="X6" s="343" t="str">
        <f>$D$6</f>
        <v>ORLEN 
S.A.</v>
      </c>
      <c r="Y6" s="343" t="str">
        <f>$E$6</f>
        <v>Grupa 
Unipetrol</v>
      </c>
      <c r="Z6" s="343" t="str">
        <f>$F$6</f>
        <v>ORLEN 
Lietuva</v>
      </c>
      <c r="AA6" s="343" t="str">
        <f>$G$6</f>
        <v>Grupa 
Anwil</v>
      </c>
      <c r="AB6" s="342" t="str">
        <f>W6</f>
        <v>GK 
ORLEN</v>
      </c>
      <c r="AC6" s="343" t="str">
        <f>$D$6</f>
        <v>ORLEN 
S.A.</v>
      </c>
      <c r="AD6" s="343" t="str">
        <f>$E$6</f>
        <v>Grupa 
Unipetrol</v>
      </c>
      <c r="AE6" s="343" t="str">
        <f>$F$6</f>
        <v>ORLEN 
Lietuva</v>
      </c>
      <c r="AF6" s="343" t="str">
        <f>$G$6</f>
        <v>Grupa 
Anwil</v>
      </c>
      <c r="AG6" s="342" t="str">
        <f>AB6</f>
        <v>GK 
ORLEN</v>
      </c>
      <c r="AH6" s="343" t="str">
        <f>$D$6</f>
        <v>ORLEN 
S.A.</v>
      </c>
      <c r="AI6" s="343" t="str">
        <f>$E$6</f>
        <v>Grupa 
Unipetrol</v>
      </c>
      <c r="AJ6" s="343" t="str">
        <f>$F$6</f>
        <v>ORLEN 
Lietuva</v>
      </c>
      <c r="AK6" s="343" t="str">
        <f>$G$6</f>
        <v>Grupa 
Anwil</v>
      </c>
      <c r="AL6" s="342" t="str">
        <f>AG6</f>
        <v>GK 
ORLEN</v>
      </c>
      <c r="AM6" s="343" t="str">
        <f>$D$6</f>
        <v>ORLEN 
S.A.</v>
      </c>
      <c r="AN6" s="343" t="str">
        <f>$E$6</f>
        <v>Grupa 
Unipetrol</v>
      </c>
      <c r="AO6" s="343" t="str">
        <f>$F$6</f>
        <v>ORLEN 
Lietuva</v>
      </c>
      <c r="AP6" s="343" t="str">
        <f>$G$6</f>
        <v>Grupa 
Anwil</v>
      </c>
      <c r="AQ6" s="342" t="str">
        <f>AL6</f>
        <v>GK 
ORLEN</v>
      </c>
      <c r="AR6" s="343" t="str">
        <f>$D$6</f>
        <v>ORLEN 
S.A.</v>
      </c>
      <c r="AS6" s="343" t="str">
        <f>$E$6</f>
        <v>Grupa 
Unipetrol</v>
      </c>
      <c r="AT6" s="343" t="str">
        <f>$F$6</f>
        <v>ORLEN 
Lietuva</v>
      </c>
      <c r="AU6" s="343" t="str">
        <f>$G$6</f>
        <v>Grupa 
Anwil</v>
      </c>
      <c r="AV6" s="342" t="str">
        <f>AQ6</f>
        <v>GK 
ORLEN</v>
      </c>
      <c r="AW6" s="343" t="str">
        <f>$D$6</f>
        <v>ORLEN 
S.A.</v>
      </c>
      <c r="AX6" s="343" t="str">
        <f>$E$6</f>
        <v>Grupa 
Unipetrol</v>
      </c>
      <c r="AY6" s="343" t="str">
        <f>$F$6</f>
        <v>ORLEN 
Lietuva</v>
      </c>
      <c r="AZ6" s="343" t="str">
        <f>$G$6</f>
        <v>Grupa 
Anwil</v>
      </c>
      <c r="BA6" s="342" t="str">
        <f>AV6</f>
        <v>GK 
ORLEN</v>
      </c>
      <c r="BB6" s="343" t="str">
        <f>$D$6</f>
        <v>ORLEN 
S.A.</v>
      </c>
      <c r="BC6" s="343" t="str">
        <f>$E$6</f>
        <v>Grupa 
Unipetrol</v>
      </c>
      <c r="BD6" s="343" t="str">
        <f>$F$6</f>
        <v>ORLEN 
Lietuva</v>
      </c>
      <c r="BE6" s="343" t="str">
        <f>$G$6</f>
        <v>Grupa 
Anwil</v>
      </c>
      <c r="BF6" s="342" t="str">
        <f>BA6</f>
        <v>GK 
ORLEN</v>
      </c>
      <c r="BG6" s="343" t="str">
        <f>$D$6</f>
        <v>ORLEN 
S.A.</v>
      </c>
      <c r="BH6" s="343" t="str">
        <f>$E$6</f>
        <v>Grupa 
Unipetrol</v>
      </c>
      <c r="BI6" s="343" t="str">
        <f>$F$6</f>
        <v>ORLEN 
Lietuva</v>
      </c>
      <c r="BJ6" s="343" t="str">
        <f>$G$6</f>
        <v>Grupa 
Anwil</v>
      </c>
      <c r="BK6" s="342" t="str">
        <f>BF6</f>
        <v>GK 
ORLEN</v>
      </c>
      <c r="BL6" s="343" t="str">
        <f>$D$6</f>
        <v>ORLEN 
S.A.</v>
      </c>
      <c r="BM6" s="343" t="str">
        <f>$E$6</f>
        <v>Grupa 
Unipetrol</v>
      </c>
      <c r="BN6" s="343" t="str">
        <f>$F$6</f>
        <v>ORLEN 
Lietuva</v>
      </c>
      <c r="BO6" s="343" t="str">
        <f>$G$6</f>
        <v>Grupa 
Anwil</v>
      </c>
      <c r="BP6" s="342" t="str">
        <f>BK6</f>
        <v>GK 
ORLEN</v>
      </c>
      <c r="BQ6" s="343" t="str">
        <f>$D$6</f>
        <v>ORLEN 
S.A.</v>
      </c>
      <c r="BR6" s="343" t="str">
        <f>$E$6</f>
        <v>Grupa 
Unipetrol</v>
      </c>
      <c r="BS6" s="343" t="str">
        <f>$F$6</f>
        <v>ORLEN 
Lietuva</v>
      </c>
      <c r="BT6" s="343" t="str">
        <f>$G$6</f>
        <v>Grupa 
Anwil</v>
      </c>
      <c r="BU6" s="342" t="str">
        <f>BP6</f>
        <v>GK 
ORLEN</v>
      </c>
      <c r="BV6" s="343" t="str">
        <f>$D$6</f>
        <v>ORLEN 
S.A.</v>
      </c>
      <c r="BW6" s="343" t="str">
        <f>$E$6</f>
        <v>Grupa 
Unipetrol</v>
      </c>
      <c r="BX6" s="343" t="str">
        <f>$F$6</f>
        <v>ORLEN 
Lietuva</v>
      </c>
      <c r="BY6" s="343" t="str">
        <f>$G$6</f>
        <v>Grupa 
Anwil</v>
      </c>
      <c r="BZ6" s="342" t="str">
        <f>BU6</f>
        <v>GK 
ORLEN</v>
      </c>
      <c r="CA6" s="343" t="str">
        <f>$D$6</f>
        <v>ORLEN 
S.A.</v>
      </c>
      <c r="CB6" s="343" t="str">
        <f>$E$6</f>
        <v>Grupa 
Unipetrol</v>
      </c>
      <c r="CC6" s="343" t="str">
        <f>$F$6</f>
        <v>ORLEN 
Lietuva</v>
      </c>
      <c r="CD6" s="343" t="str">
        <f>$G$6</f>
        <v>Grupa 
Anwil</v>
      </c>
      <c r="CE6" s="342" t="str">
        <f>BZ6</f>
        <v>GK 
ORLEN</v>
      </c>
      <c r="CF6" s="343" t="str">
        <f>$D$6</f>
        <v>ORLEN 
S.A.</v>
      </c>
      <c r="CG6" s="343" t="str">
        <f>$E$6</f>
        <v>Grupa 
Unipetrol</v>
      </c>
      <c r="CH6" s="343" t="str">
        <f>$F$6</f>
        <v>ORLEN 
Lietuva</v>
      </c>
      <c r="CI6" s="343" t="str">
        <f>$G$6</f>
        <v>Grupa 
Anwil</v>
      </c>
      <c r="CJ6" s="342" t="str">
        <f>CE6</f>
        <v>GK 
ORLEN</v>
      </c>
      <c r="CK6" s="343" t="str">
        <f>$D$6</f>
        <v>ORLEN 
S.A.</v>
      </c>
      <c r="CL6" s="343" t="str">
        <f>$E$6</f>
        <v>Grupa 
Unipetrol</v>
      </c>
      <c r="CM6" s="343" t="str">
        <f>$F$6</f>
        <v>ORLEN 
Lietuva</v>
      </c>
      <c r="CN6" s="343" t="str">
        <f>$G$6</f>
        <v>Grupa 
Anwil</v>
      </c>
      <c r="CO6" s="342" t="str">
        <f>CJ6</f>
        <v>GK 
ORLEN</v>
      </c>
      <c r="CP6" s="343" t="str">
        <f>$D$6</f>
        <v>ORLEN 
S.A.</v>
      </c>
      <c r="CQ6" s="343" t="str">
        <f>$E$6</f>
        <v>Grupa 
Unipetrol</v>
      </c>
      <c r="CR6" s="343" t="str">
        <f>$F$6</f>
        <v>ORLEN 
Lietuva</v>
      </c>
      <c r="CS6" s="343" t="str">
        <f>$G$6</f>
        <v>Grupa 
Anwil</v>
      </c>
      <c r="CT6" s="342" t="str">
        <f>CO6</f>
        <v>GK 
ORLEN</v>
      </c>
      <c r="CU6" s="343" t="str">
        <f>$D$6</f>
        <v>ORLEN 
S.A.</v>
      </c>
      <c r="CV6" s="343" t="str">
        <f>$E$6</f>
        <v>Grupa 
Unipetrol</v>
      </c>
      <c r="CW6" s="343" t="str">
        <f>$F$6</f>
        <v>ORLEN 
Lietuva</v>
      </c>
      <c r="CX6" s="343" t="str">
        <f>$G$6</f>
        <v>Grupa 
Anwil</v>
      </c>
      <c r="CY6" s="342" t="str">
        <f>CT6</f>
        <v>GK 
ORLEN</v>
      </c>
      <c r="CZ6" s="343" t="str">
        <f>$D$6</f>
        <v>ORLEN 
S.A.</v>
      </c>
      <c r="DA6" s="343" t="str">
        <f>$E$6</f>
        <v>Grupa 
Unipetrol</v>
      </c>
      <c r="DB6" s="343" t="str">
        <f>$F$6</f>
        <v>ORLEN 
Lietuva</v>
      </c>
      <c r="DC6" s="343" t="str">
        <f>$G$6</f>
        <v>Grupa 
Anwil</v>
      </c>
      <c r="DD6" s="342" t="str">
        <f>CY6</f>
        <v>GK 
ORLEN</v>
      </c>
      <c r="DE6" s="343" t="str">
        <f>$D$6</f>
        <v>ORLEN 
S.A.</v>
      </c>
      <c r="DF6" s="343" t="str">
        <f>$E$6</f>
        <v>Grupa 
Unipetrol</v>
      </c>
      <c r="DG6" s="343" t="str">
        <f>$F$6</f>
        <v>ORLEN 
Lietuva</v>
      </c>
      <c r="DH6" s="343" t="str">
        <f>$G$6</f>
        <v>Grupa 
Anwil</v>
      </c>
      <c r="DI6" s="342" t="str">
        <f>DD6</f>
        <v>GK 
ORLEN</v>
      </c>
      <c r="DJ6" s="343" t="str">
        <f>$D$6</f>
        <v>ORLEN 
S.A.</v>
      </c>
      <c r="DK6" s="343" t="str">
        <f>$E$6</f>
        <v>Grupa 
Unipetrol</v>
      </c>
      <c r="DL6" s="343" t="str">
        <f>$F$6</f>
        <v>ORLEN 
Lietuva</v>
      </c>
      <c r="DM6" s="343" t="str">
        <f>$G$6</f>
        <v>Grupa 
Anwil</v>
      </c>
      <c r="DN6" s="342" t="str">
        <f>DI6</f>
        <v>GK 
ORLEN</v>
      </c>
      <c r="DO6" s="343" t="str">
        <f>$D$6</f>
        <v>ORLEN 
S.A.</v>
      </c>
      <c r="DP6" s="343" t="str">
        <f>$E$6</f>
        <v>Grupa 
Unipetrol</v>
      </c>
      <c r="DQ6" s="343" t="str">
        <f>$F$6</f>
        <v>ORLEN 
Lietuva</v>
      </c>
      <c r="DR6" s="343" t="str">
        <f>$G$6</f>
        <v>Grupa 
Anwil</v>
      </c>
      <c r="DS6" s="342" t="str">
        <f>DN6</f>
        <v>GK 
ORLEN</v>
      </c>
      <c r="DT6" s="343" t="str">
        <f>$D$6</f>
        <v>ORLEN 
S.A.</v>
      </c>
      <c r="DU6" s="343" t="str">
        <f>$E$6</f>
        <v>Grupa 
Unipetrol</v>
      </c>
      <c r="DV6" s="343" t="str">
        <f>$F$6</f>
        <v>ORLEN 
Lietuva</v>
      </c>
      <c r="DW6" s="343" t="str">
        <f>$G$6</f>
        <v>Grupa 
Anwil</v>
      </c>
      <c r="DX6" s="342" t="str">
        <f>DS6</f>
        <v>GK 
ORLEN</v>
      </c>
      <c r="DY6" s="343" t="str">
        <f>$D$6</f>
        <v>ORLEN 
S.A.</v>
      </c>
      <c r="DZ6" s="343" t="str">
        <f>$E$6</f>
        <v>Grupa 
Unipetrol</v>
      </c>
      <c r="EA6" s="343" t="str">
        <f>$F$6</f>
        <v>ORLEN 
Lietuva</v>
      </c>
      <c r="EB6" s="343" t="str">
        <f>$G$6</f>
        <v>Grupa 
Anwil</v>
      </c>
      <c r="EC6" s="342" t="str">
        <f>DX6</f>
        <v>GK 
ORLEN</v>
      </c>
      <c r="ED6" s="343" t="str">
        <f>$D$6</f>
        <v>ORLEN 
S.A.</v>
      </c>
      <c r="EE6" s="343" t="str">
        <f>$E$6</f>
        <v>Grupa 
Unipetrol</v>
      </c>
      <c r="EF6" s="343" t="str">
        <f>$F$6</f>
        <v>ORLEN 
Lietuva</v>
      </c>
      <c r="EG6" s="343" t="str">
        <f>$G$6</f>
        <v>Grupa 
Anwil</v>
      </c>
      <c r="EH6" s="342" t="str">
        <f>EC6</f>
        <v>GK 
ORLEN</v>
      </c>
      <c r="EI6" s="343" t="str">
        <f>$D$6</f>
        <v>ORLEN 
S.A.</v>
      </c>
      <c r="EJ6" s="343" t="str">
        <f>$E$6</f>
        <v>Grupa 
Unipetrol</v>
      </c>
      <c r="EK6" s="343" t="str">
        <f>$F$6</f>
        <v>ORLEN 
Lietuva</v>
      </c>
      <c r="EL6" s="343" t="str">
        <f>$G$6</f>
        <v>Grupa 
Anwil</v>
      </c>
      <c r="EM6" s="342" t="str">
        <f>EH6</f>
        <v>GK 
ORLEN</v>
      </c>
      <c r="EN6" s="343" t="str">
        <f>$D$6</f>
        <v>ORLEN 
S.A.</v>
      </c>
      <c r="EO6" s="343" t="str">
        <f>$E$6</f>
        <v>Grupa 
Unipetrol</v>
      </c>
      <c r="EP6" s="343" t="str">
        <f>$F$6</f>
        <v>ORLEN 
Lietuva</v>
      </c>
      <c r="EQ6" s="343" t="str">
        <f>$G$6</f>
        <v>Grupa 
Anwil</v>
      </c>
      <c r="ER6" s="342" t="str">
        <f>EM6</f>
        <v>GK 
ORLEN</v>
      </c>
      <c r="ES6" s="343" t="str">
        <f>$D$6</f>
        <v>ORLEN 
S.A.</v>
      </c>
      <c r="ET6" s="343" t="str">
        <f>$E$6</f>
        <v>Grupa 
Unipetrol</v>
      </c>
      <c r="EU6" s="343" t="str">
        <f>$F$6</f>
        <v>ORLEN 
Lietuva</v>
      </c>
      <c r="EV6" s="343" t="str">
        <f>$G$6</f>
        <v>Grupa 
Anwil</v>
      </c>
      <c r="EW6" s="342" t="str">
        <f>ER6</f>
        <v>GK 
ORLEN</v>
      </c>
      <c r="EX6" s="343" t="str">
        <f>$D$6</f>
        <v>ORLEN 
S.A.</v>
      </c>
      <c r="EY6" s="343" t="str">
        <f>$E$6</f>
        <v>Grupa 
Unipetrol</v>
      </c>
      <c r="EZ6" s="343" t="str">
        <f>$F$6</f>
        <v>ORLEN 
Lietuva</v>
      </c>
      <c r="FA6" s="343" t="str">
        <f>$G$6</f>
        <v>Grupa 
Anwil</v>
      </c>
      <c r="FB6" s="342" t="str">
        <f>EW6</f>
        <v>GK 
ORLEN</v>
      </c>
      <c r="FC6" s="343" t="str">
        <f>$D$6</f>
        <v>ORLEN 
S.A.</v>
      </c>
      <c r="FD6" s="343" t="str">
        <f>$E$6</f>
        <v>Grupa 
Unipetrol</v>
      </c>
      <c r="FE6" s="343" t="str">
        <f>$F$6</f>
        <v>ORLEN 
Lietuva</v>
      </c>
      <c r="FF6" s="343" t="str">
        <f>$G$6</f>
        <v>Grupa 
Anwil</v>
      </c>
      <c r="FG6" s="342" t="str">
        <f>FB6</f>
        <v>GK 
ORLEN</v>
      </c>
      <c r="FH6" s="343" t="str">
        <f>$D$6</f>
        <v>ORLEN 
S.A.</v>
      </c>
      <c r="FI6" s="343" t="str">
        <f>$E$6</f>
        <v>Grupa 
Unipetrol</v>
      </c>
      <c r="FJ6" s="343" t="str">
        <f>$F$6</f>
        <v>ORLEN 
Lietuva</v>
      </c>
      <c r="FK6" s="343" t="str">
        <f>$G$6</f>
        <v>Grupa 
Anwil</v>
      </c>
      <c r="FL6" s="342" t="str">
        <f>FG6</f>
        <v>GK 
ORLEN</v>
      </c>
      <c r="FM6" s="343" t="str">
        <f>$D$6</f>
        <v>ORLEN 
S.A.</v>
      </c>
      <c r="FN6" s="343" t="str">
        <f>$E$6</f>
        <v>Grupa 
Unipetrol</v>
      </c>
      <c r="FO6" s="343" t="str">
        <f>$F$6</f>
        <v>ORLEN 
Lietuva</v>
      </c>
      <c r="FP6" s="343" t="str">
        <f>$G$6</f>
        <v>Grupa 
Anwil</v>
      </c>
      <c r="FQ6" s="342" t="str">
        <f>FL6</f>
        <v>GK 
ORLEN</v>
      </c>
      <c r="FR6" s="343" t="str">
        <f>$D$6</f>
        <v>ORLEN 
S.A.</v>
      </c>
      <c r="FS6" s="343" t="str">
        <f>$E$6</f>
        <v>Grupa 
Unipetrol</v>
      </c>
      <c r="FT6" s="343" t="str">
        <f>$F$6</f>
        <v>ORLEN 
Lietuva</v>
      </c>
      <c r="FU6" s="343" t="str">
        <f>$G$6</f>
        <v>Grupa 
Anwil</v>
      </c>
      <c r="FV6" s="342" t="str">
        <f>FQ6</f>
        <v>GK 
ORLEN</v>
      </c>
      <c r="FW6" s="343" t="str">
        <f>$D$6</f>
        <v>ORLEN 
S.A.</v>
      </c>
      <c r="FX6" s="343" t="str">
        <f>$E$6</f>
        <v>Grupa 
Unipetrol</v>
      </c>
      <c r="FY6" s="343" t="str">
        <f>$F$6</f>
        <v>ORLEN 
Lietuva</v>
      </c>
      <c r="FZ6" s="343" t="str">
        <f>$G$6</f>
        <v>Grupa 
Anwil</v>
      </c>
      <c r="GA6" s="577"/>
    </row>
    <row r="7" spans="2:183" ht="9.75" customHeight="1" thickBot="1">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577"/>
    </row>
    <row r="8" spans="2:183" ht="15.75" thickBot="1">
      <c r="B8" s="346" t="str">
        <f>names!A1917</f>
        <v>Przerób ropy</v>
      </c>
      <c r="C8" s="347">
        <v>7003</v>
      </c>
      <c r="D8" s="347">
        <v>3504</v>
      </c>
      <c r="E8" s="347">
        <v>896</v>
      </c>
      <c r="F8" s="347">
        <v>2501</v>
      </c>
      <c r="G8" s="348" t="s">
        <v>249</v>
      </c>
      <c r="H8" s="347">
        <v>6663</v>
      </c>
      <c r="I8" s="347">
        <v>3636</v>
      </c>
      <c r="J8" s="347">
        <v>903</v>
      </c>
      <c r="K8" s="347">
        <v>2030</v>
      </c>
      <c r="L8" s="348" t="s">
        <v>249</v>
      </c>
      <c r="M8" s="347">
        <v>7461</v>
      </c>
      <c r="N8" s="347">
        <v>4095</v>
      </c>
      <c r="O8" s="347">
        <v>902</v>
      </c>
      <c r="P8" s="347">
        <v>2353</v>
      </c>
      <c r="Q8" s="348" t="s">
        <v>249</v>
      </c>
      <c r="R8" s="347">
        <v>7089</v>
      </c>
      <c r="S8" s="348">
        <v>3947</v>
      </c>
      <c r="T8" s="348">
        <v>906</v>
      </c>
      <c r="U8" s="348">
        <v>2126</v>
      </c>
      <c r="V8" s="348" t="s">
        <v>249</v>
      </c>
      <c r="W8" s="366">
        <f>C8+H8+M8+R8</f>
        <v>28216</v>
      </c>
      <c r="X8" s="347">
        <f>D8+I8+N8+S8</f>
        <v>15182</v>
      </c>
      <c r="Y8" s="347">
        <f>E8+J8+O8+T8</f>
        <v>3607</v>
      </c>
      <c r="Z8" s="347">
        <f>F8+K8+P8+U8</f>
        <v>9010</v>
      </c>
      <c r="AA8" s="347" t="s">
        <v>249</v>
      </c>
      <c r="AB8" s="349">
        <v>6190</v>
      </c>
      <c r="AC8" s="349">
        <v>3503</v>
      </c>
      <c r="AD8" s="349">
        <v>1125</v>
      </c>
      <c r="AE8" s="349">
        <v>1467</v>
      </c>
      <c r="AF8" s="349" t="s">
        <v>249</v>
      </c>
      <c r="AG8" s="349">
        <v>6480</v>
      </c>
      <c r="AH8" s="349">
        <v>3232</v>
      </c>
      <c r="AI8" s="349">
        <v>1331</v>
      </c>
      <c r="AJ8" s="349">
        <v>1830</v>
      </c>
      <c r="AK8" s="349" t="s">
        <v>249</v>
      </c>
      <c r="AL8" s="349">
        <v>7385</v>
      </c>
      <c r="AM8" s="349">
        <v>3931</v>
      </c>
      <c r="AN8" s="349">
        <v>1372</v>
      </c>
      <c r="AO8" s="349">
        <v>1986</v>
      </c>
      <c r="AP8" s="349" t="s">
        <v>249</v>
      </c>
      <c r="AQ8" s="349">
        <v>7221</v>
      </c>
      <c r="AR8" s="349">
        <v>3612</v>
      </c>
      <c r="AS8" s="349">
        <v>1302</v>
      </c>
      <c r="AT8" s="349">
        <v>2214</v>
      </c>
      <c r="AU8" s="349" t="s">
        <v>249</v>
      </c>
      <c r="AV8" s="361">
        <f>AB8+AG8+AL8+AQ8</f>
        <v>27276</v>
      </c>
      <c r="AW8" s="349">
        <f>AC8+AH8+AM8+AR8</f>
        <v>14278</v>
      </c>
      <c r="AX8" s="349">
        <f>AD8+AI8+AN8+AS8</f>
        <v>5130</v>
      </c>
      <c r="AY8" s="349">
        <f>AE8+AJ8+AO8+AT8</f>
        <v>7497</v>
      </c>
      <c r="AZ8" s="349" t="s">
        <v>249</v>
      </c>
      <c r="BA8" s="349">
        <v>6652</v>
      </c>
      <c r="BB8" s="349">
        <v>3533</v>
      </c>
      <c r="BC8" s="349">
        <v>1243</v>
      </c>
      <c r="BD8" s="349">
        <v>1795</v>
      </c>
      <c r="BE8" s="349" t="s">
        <v>249</v>
      </c>
      <c r="BF8" s="349">
        <v>8149</v>
      </c>
      <c r="BG8" s="349">
        <v>4058</v>
      </c>
      <c r="BH8" s="349">
        <v>1845</v>
      </c>
      <c r="BI8" s="349">
        <v>2195</v>
      </c>
      <c r="BJ8" s="349" t="s">
        <v>249</v>
      </c>
      <c r="BK8" s="349">
        <v>8332</v>
      </c>
      <c r="BL8" s="349">
        <v>4240</v>
      </c>
      <c r="BM8" s="349">
        <v>1840</v>
      </c>
      <c r="BN8" s="349">
        <v>2195</v>
      </c>
      <c r="BO8" s="349" t="s">
        <v>249</v>
      </c>
      <c r="BP8" s="349">
        <v>7776</v>
      </c>
      <c r="BQ8" s="349">
        <v>3843</v>
      </c>
      <c r="BR8" s="349">
        <v>1567</v>
      </c>
      <c r="BS8" s="349">
        <v>2301</v>
      </c>
      <c r="BT8" s="349" t="s">
        <v>249</v>
      </c>
      <c r="BU8" s="361">
        <f>BA8+BF8+BK8+BP8</f>
        <v>30909</v>
      </c>
      <c r="BV8" s="349">
        <f>BB8+BG8+BL8+BQ8</f>
        <v>15674</v>
      </c>
      <c r="BW8" s="349">
        <f>BC8+BH8+BM8+BR8</f>
        <v>6495</v>
      </c>
      <c r="BX8" s="349">
        <f>BD8+BI8+BN8+BS8</f>
        <v>8486</v>
      </c>
      <c r="BY8" s="349" t="s">
        <v>249</v>
      </c>
      <c r="BZ8" s="349">
        <v>7369</v>
      </c>
      <c r="CA8" s="349">
        <v>3485</v>
      </c>
      <c r="CB8" s="349">
        <v>1429</v>
      </c>
      <c r="CC8" s="349">
        <v>2385</v>
      </c>
      <c r="CD8" s="349" t="s">
        <v>249</v>
      </c>
      <c r="CE8" s="349">
        <v>6938</v>
      </c>
      <c r="CF8" s="349">
        <v>3842</v>
      </c>
      <c r="CG8" s="349">
        <v>998</v>
      </c>
      <c r="CH8" s="349">
        <v>2020</v>
      </c>
      <c r="CI8" s="349" t="s">
        <v>249</v>
      </c>
      <c r="CJ8" s="349">
        <v>7532</v>
      </c>
      <c r="CK8" s="349">
        <v>4003</v>
      </c>
      <c r="CL8" s="349">
        <v>1039</v>
      </c>
      <c r="CM8" s="349">
        <v>2435</v>
      </c>
      <c r="CN8" s="349" t="s">
        <v>249</v>
      </c>
      <c r="CO8" s="349">
        <v>8308</v>
      </c>
      <c r="CP8" s="349">
        <v>3799</v>
      </c>
      <c r="CQ8" s="349">
        <v>1956</v>
      </c>
      <c r="CR8" s="349">
        <v>2483</v>
      </c>
      <c r="CS8" s="349" t="s">
        <v>249</v>
      </c>
      <c r="CT8" s="361">
        <f t="shared" ref="CT8:CW11" si="0">BZ8+CE8+CJ8+CO8</f>
        <v>30147</v>
      </c>
      <c r="CU8" s="349">
        <f t="shared" si="0"/>
        <v>15129</v>
      </c>
      <c r="CV8" s="349">
        <f t="shared" si="0"/>
        <v>5422</v>
      </c>
      <c r="CW8" s="349">
        <f t="shared" si="0"/>
        <v>9323</v>
      </c>
      <c r="CX8" s="349" t="s">
        <v>249</v>
      </c>
      <c r="CY8" s="349">
        <v>7894</v>
      </c>
      <c r="CZ8" s="349">
        <v>3684</v>
      </c>
      <c r="DA8" s="349">
        <v>1923</v>
      </c>
      <c r="DB8" s="349">
        <v>2205</v>
      </c>
      <c r="DC8" s="349" t="s">
        <v>249</v>
      </c>
      <c r="DD8" s="349">
        <v>7622</v>
      </c>
      <c r="DE8" s="349">
        <v>3222</v>
      </c>
      <c r="DF8" s="349">
        <v>2081</v>
      </c>
      <c r="DG8" s="349">
        <v>2257</v>
      </c>
      <c r="DH8" s="349" t="s">
        <v>249</v>
      </c>
      <c r="DI8" s="349">
        <v>8966</v>
      </c>
      <c r="DJ8" s="349">
        <v>4064</v>
      </c>
      <c r="DK8" s="349">
        <v>2120</v>
      </c>
      <c r="DL8" s="349">
        <v>2703</v>
      </c>
      <c r="DM8" s="349" t="s">
        <v>249</v>
      </c>
      <c r="DN8" s="349">
        <v>8746</v>
      </c>
      <c r="DO8" s="349">
        <v>4250</v>
      </c>
      <c r="DP8" s="349">
        <v>1770</v>
      </c>
      <c r="DQ8" s="349">
        <v>2656</v>
      </c>
      <c r="DR8" s="349" t="s">
        <v>249</v>
      </c>
      <c r="DS8" s="361">
        <f t="shared" ref="DS8:DV12" si="1">CY8+DD8+DI8+DN8</f>
        <v>33228</v>
      </c>
      <c r="DT8" s="349">
        <f t="shared" si="1"/>
        <v>15220</v>
      </c>
      <c r="DU8" s="349">
        <f t="shared" si="1"/>
        <v>7894</v>
      </c>
      <c r="DV8" s="349">
        <f t="shared" si="1"/>
        <v>9821</v>
      </c>
      <c r="DW8" s="349" t="s">
        <v>249</v>
      </c>
      <c r="DX8" s="349">
        <v>8529</v>
      </c>
      <c r="DY8" s="349">
        <v>4121</v>
      </c>
      <c r="DZ8" s="349">
        <v>1855</v>
      </c>
      <c r="EA8" s="349">
        <v>2475</v>
      </c>
      <c r="EB8" s="349" t="s">
        <v>249</v>
      </c>
      <c r="EC8" s="349">
        <v>7461</v>
      </c>
      <c r="ED8" s="349">
        <v>3802</v>
      </c>
      <c r="EE8" s="349">
        <v>1627</v>
      </c>
      <c r="EF8" s="349">
        <v>1967</v>
      </c>
      <c r="EG8" s="349" t="s">
        <v>249</v>
      </c>
      <c r="EH8" s="349">
        <v>8694</v>
      </c>
      <c r="EI8" s="349">
        <v>3977</v>
      </c>
      <c r="EJ8" s="349">
        <v>2023</v>
      </c>
      <c r="EK8" s="349">
        <v>2629</v>
      </c>
      <c r="EL8" s="349" t="s">
        <v>249</v>
      </c>
      <c r="EM8" s="349">
        <v>8695.7910867789997</v>
      </c>
      <c r="EN8" s="349">
        <v>3954.8020299999998</v>
      </c>
      <c r="EO8" s="349">
        <v>2049.6556059999998</v>
      </c>
      <c r="EP8" s="349">
        <v>2618.5074387790005</v>
      </c>
      <c r="EQ8" s="349" t="s">
        <v>249</v>
      </c>
      <c r="ER8" s="361">
        <f t="shared" ref="ER8:EU18" si="2">DX8+EC8+EH8+EM8</f>
        <v>33379.791086778998</v>
      </c>
      <c r="ES8" s="349">
        <f t="shared" si="2"/>
        <v>15854.802029999999</v>
      </c>
      <c r="ET8" s="349">
        <f t="shared" si="2"/>
        <v>7554.6556060000003</v>
      </c>
      <c r="EU8" s="349">
        <f t="shared" si="2"/>
        <v>9689.5074387790009</v>
      </c>
      <c r="EV8" s="349" t="s">
        <v>249</v>
      </c>
      <c r="EW8" s="349">
        <v>8225</v>
      </c>
      <c r="EX8" s="349">
        <v>4075</v>
      </c>
      <c r="EY8" s="349">
        <v>1847</v>
      </c>
      <c r="EZ8" s="349">
        <v>2223</v>
      </c>
      <c r="FA8" s="349" t="s">
        <v>249</v>
      </c>
      <c r="FB8" s="349">
        <v>8289</v>
      </c>
      <c r="FC8" s="349">
        <v>3940</v>
      </c>
      <c r="FD8" s="349">
        <v>1883</v>
      </c>
      <c r="FE8" s="349">
        <v>2410</v>
      </c>
      <c r="FF8" s="349" t="s">
        <v>249</v>
      </c>
      <c r="FG8" s="349">
        <v>9013</v>
      </c>
      <c r="FH8" s="349">
        <v>4196</v>
      </c>
      <c r="FI8" s="349">
        <v>2133</v>
      </c>
      <c r="FJ8" s="349">
        <v>2597</v>
      </c>
      <c r="FK8" s="349" t="s">
        <v>249</v>
      </c>
      <c r="FL8" s="349">
        <v>8352</v>
      </c>
      <c r="FM8" s="349">
        <v>3996</v>
      </c>
      <c r="FN8" s="349">
        <v>1991</v>
      </c>
      <c r="FO8" s="349">
        <v>2285</v>
      </c>
      <c r="FP8" s="349" t="s">
        <v>249</v>
      </c>
      <c r="FQ8" s="361">
        <f>EW8+FB8+FG8+FL8</f>
        <v>33879</v>
      </c>
      <c r="FR8" s="349">
        <f t="shared" ref="FR8:FU18" si="3">EX8+FC8+FH8+FM8</f>
        <v>16207</v>
      </c>
      <c r="FS8" s="349">
        <f t="shared" si="3"/>
        <v>7854</v>
      </c>
      <c r="FT8" s="349">
        <f t="shared" si="3"/>
        <v>9515</v>
      </c>
      <c r="FU8" s="349" t="s">
        <v>249</v>
      </c>
      <c r="FV8" s="349">
        <v>7683</v>
      </c>
      <c r="FW8" s="349">
        <v>3926</v>
      </c>
      <c r="FX8" s="349">
        <v>1646</v>
      </c>
      <c r="FY8" s="349">
        <v>2028</v>
      </c>
      <c r="FZ8" s="349" t="s">
        <v>249</v>
      </c>
      <c r="GA8" s="577"/>
    </row>
    <row r="9" spans="2:183" ht="22.5">
      <c r="B9" s="350" t="str">
        <f>names!A1918</f>
        <v>Lekkie destylaty
[benzyna, LPG]</v>
      </c>
      <c r="C9" s="351">
        <v>1536</v>
      </c>
      <c r="D9" s="351">
        <v>595</v>
      </c>
      <c r="E9" s="351">
        <v>183</v>
      </c>
      <c r="F9" s="351">
        <v>757</v>
      </c>
      <c r="G9" s="352" t="s">
        <v>249</v>
      </c>
      <c r="H9" s="351">
        <v>1489</v>
      </c>
      <c r="I9" s="351">
        <v>677</v>
      </c>
      <c r="J9" s="351">
        <v>187</v>
      </c>
      <c r="K9" s="351">
        <v>625</v>
      </c>
      <c r="L9" s="352" t="s">
        <v>249</v>
      </c>
      <c r="M9" s="351">
        <v>1659</v>
      </c>
      <c r="N9" s="351">
        <v>748</v>
      </c>
      <c r="O9" s="351">
        <v>206</v>
      </c>
      <c r="P9" s="351">
        <v>704</v>
      </c>
      <c r="Q9" s="352" t="s">
        <v>249</v>
      </c>
      <c r="R9" s="351">
        <v>1611</v>
      </c>
      <c r="S9" s="352">
        <v>748</v>
      </c>
      <c r="T9" s="352">
        <v>166</v>
      </c>
      <c r="U9" s="352">
        <v>697</v>
      </c>
      <c r="V9" s="352" t="s">
        <v>249</v>
      </c>
      <c r="W9" s="367">
        <f t="shared" ref="W9:AA18" si="4">C9+H9+M9+R9</f>
        <v>6295</v>
      </c>
      <c r="X9" s="351">
        <f t="shared" si="4"/>
        <v>2768</v>
      </c>
      <c r="Y9" s="351">
        <f t="shared" si="4"/>
        <v>742</v>
      </c>
      <c r="Z9" s="351">
        <f t="shared" si="4"/>
        <v>2783</v>
      </c>
      <c r="AA9" s="351" t="s">
        <v>249</v>
      </c>
      <c r="AB9" s="353">
        <v>1197</v>
      </c>
      <c r="AC9" s="353">
        <v>568</v>
      </c>
      <c r="AD9" s="353">
        <v>221</v>
      </c>
      <c r="AE9" s="353">
        <v>419</v>
      </c>
      <c r="AF9" s="354" t="s">
        <v>249</v>
      </c>
      <c r="AG9" s="353">
        <v>1389</v>
      </c>
      <c r="AH9" s="353">
        <v>556</v>
      </c>
      <c r="AI9" s="353">
        <v>296</v>
      </c>
      <c r="AJ9" s="353">
        <v>554</v>
      </c>
      <c r="AK9" s="354" t="s">
        <v>249</v>
      </c>
      <c r="AL9" s="353">
        <v>1639</v>
      </c>
      <c r="AM9" s="353">
        <v>728</v>
      </c>
      <c r="AN9" s="353">
        <v>295</v>
      </c>
      <c r="AO9" s="353">
        <v>633</v>
      </c>
      <c r="AP9" s="354" t="s">
        <v>249</v>
      </c>
      <c r="AQ9" s="353">
        <v>1548</v>
      </c>
      <c r="AR9" s="353">
        <v>641</v>
      </c>
      <c r="AS9" s="353">
        <v>288</v>
      </c>
      <c r="AT9" s="353">
        <v>635</v>
      </c>
      <c r="AU9" s="354" t="s">
        <v>249</v>
      </c>
      <c r="AV9" s="362">
        <f t="shared" ref="AV9:AZ18" si="5">AB9+AG9+AL9+AQ9</f>
        <v>5773</v>
      </c>
      <c r="AW9" s="353">
        <f t="shared" si="5"/>
        <v>2493</v>
      </c>
      <c r="AX9" s="353">
        <f t="shared" si="5"/>
        <v>1100</v>
      </c>
      <c r="AY9" s="353">
        <f t="shared" si="5"/>
        <v>2241</v>
      </c>
      <c r="AZ9" s="354" t="s">
        <v>249</v>
      </c>
      <c r="BA9" s="353">
        <v>1333</v>
      </c>
      <c r="BB9" s="353">
        <v>602</v>
      </c>
      <c r="BC9" s="353">
        <v>242</v>
      </c>
      <c r="BD9" s="353">
        <v>503</v>
      </c>
      <c r="BE9" s="354" t="s">
        <v>249</v>
      </c>
      <c r="BF9" s="353">
        <v>1780</v>
      </c>
      <c r="BG9" s="353">
        <v>702</v>
      </c>
      <c r="BH9" s="353">
        <v>406</v>
      </c>
      <c r="BI9" s="353">
        <v>691</v>
      </c>
      <c r="BJ9" s="353"/>
      <c r="BK9" s="354">
        <v>1925</v>
      </c>
      <c r="BL9" s="354">
        <v>760</v>
      </c>
      <c r="BM9" s="354">
        <v>494</v>
      </c>
      <c r="BN9" s="354">
        <v>681</v>
      </c>
      <c r="BO9" s="354" t="s">
        <v>249</v>
      </c>
      <c r="BP9" s="354">
        <v>1887</v>
      </c>
      <c r="BQ9" s="354">
        <v>660</v>
      </c>
      <c r="BR9" s="354">
        <v>500</v>
      </c>
      <c r="BS9" s="354">
        <v>737</v>
      </c>
      <c r="BT9" s="354" t="s">
        <v>249</v>
      </c>
      <c r="BU9" s="362">
        <f t="shared" ref="BU9:BU18" si="6">BA9+BF9+BK9+BP9</f>
        <v>6925</v>
      </c>
      <c r="BV9" s="354">
        <f>BB9+BG9+BL9+BQ9</f>
        <v>2724</v>
      </c>
      <c r="BW9" s="354">
        <f t="shared" ref="BW9:BW14" si="7">BC9+BH9+BM9+BR9</f>
        <v>1642</v>
      </c>
      <c r="BX9" s="354">
        <f>BD9+BI9+BN9+BS9</f>
        <v>2612</v>
      </c>
      <c r="BY9" s="354" t="s">
        <v>249</v>
      </c>
      <c r="BZ9" s="354">
        <v>1781</v>
      </c>
      <c r="CA9" s="354">
        <v>612</v>
      </c>
      <c r="CB9" s="354">
        <v>471</v>
      </c>
      <c r="CC9" s="354">
        <v>699</v>
      </c>
      <c r="CD9" s="354" t="s">
        <v>249</v>
      </c>
      <c r="CE9" s="354">
        <v>1583</v>
      </c>
      <c r="CF9" s="354">
        <v>663</v>
      </c>
      <c r="CG9" s="354">
        <v>246</v>
      </c>
      <c r="CH9" s="354">
        <v>673</v>
      </c>
      <c r="CI9" s="354" t="s">
        <v>249</v>
      </c>
      <c r="CJ9" s="354">
        <v>1746</v>
      </c>
      <c r="CK9" s="354">
        <v>751</v>
      </c>
      <c r="CL9" s="354">
        <v>270</v>
      </c>
      <c r="CM9" s="354">
        <v>726</v>
      </c>
      <c r="CN9" s="354" t="s">
        <v>249</v>
      </c>
      <c r="CO9" s="354">
        <v>1929</v>
      </c>
      <c r="CP9" s="354">
        <v>760</v>
      </c>
      <c r="CQ9" s="354">
        <v>430</v>
      </c>
      <c r="CR9" s="354">
        <v>739</v>
      </c>
      <c r="CS9" s="354" t="s">
        <v>249</v>
      </c>
      <c r="CT9" s="362">
        <f t="shared" si="0"/>
        <v>7039</v>
      </c>
      <c r="CU9" s="354">
        <f t="shared" si="0"/>
        <v>2786</v>
      </c>
      <c r="CV9" s="354">
        <f t="shared" si="0"/>
        <v>1417</v>
      </c>
      <c r="CW9" s="354">
        <f t="shared" si="0"/>
        <v>2837</v>
      </c>
      <c r="CX9" s="359" t="s">
        <v>249</v>
      </c>
      <c r="CY9" s="354">
        <v>1759</v>
      </c>
      <c r="CZ9" s="354">
        <v>703</v>
      </c>
      <c r="DA9" s="354">
        <v>421</v>
      </c>
      <c r="DB9" s="354">
        <v>642</v>
      </c>
      <c r="DC9" s="354" t="s">
        <v>249</v>
      </c>
      <c r="DD9" s="354">
        <v>1787</v>
      </c>
      <c r="DE9" s="354">
        <v>623</v>
      </c>
      <c r="DF9" s="354">
        <v>452</v>
      </c>
      <c r="DG9" s="354">
        <v>712</v>
      </c>
      <c r="DH9" s="354" t="s">
        <v>249</v>
      </c>
      <c r="DI9" s="354">
        <v>1987</v>
      </c>
      <c r="DJ9" s="354">
        <v>708</v>
      </c>
      <c r="DK9" s="354">
        <v>469</v>
      </c>
      <c r="DL9" s="354">
        <v>814</v>
      </c>
      <c r="DM9" s="354" t="s">
        <v>249</v>
      </c>
      <c r="DN9" s="354">
        <v>1993</v>
      </c>
      <c r="DO9" s="354">
        <v>745</v>
      </c>
      <c r="DP9" s="354">
        <v>415</v>
      </c>
      <c r="DQ9" s="354">
        <v>829</v>
      </c>
      <c r="DR9" s="354" t="s">
        <v>249</v>
      </c>
      <c r="DS9" s="362">
        <f t="shared" si="1"/>
        <v>7526</v>
      </c>
      <c r="DT9" s="354">
        <f t="shared" si="1"/>
        <v>2779</v>
      </c>
      <c r="DU9" s="354">
        <f t="shared" si="1"/>
        <v>1757</v>
      </c>
      <c r="DV9" s="354">
        <f t="shared" si="1"/>
        <v>2997</v>
      </c>
      <c r="DW9" s="359" t="s">
        <v>249</v>
      </c>
      <c r="DX9" s="354">
        <v>1770</v>
      </c>
      <c r="DY9" s="354">
        <v>741</v>
      </c>
      <c r="DZ9" s="354">
        <v>362</v>
      </c>
      <c r="EA9" s="354">
        <v>667</v>
      </c>
      <c r="EB9" s="354" t="s">
        <v>249</v>
      </c>
      <c r="EC9" s="354">
        <v>1576</v>
      </c>
      <c r="ED9" s="354">
        <v>638</v>
      </c>
      <c r="EE9" s="354">
        <v>319</v>
      </c>
      <c r="EF9" s="354">
        <v>609</v>
      </c>
      <c r="EG9" s="354" t="s">
        <v>249</v>
      </c>
      <c r="EH9" s="354">
        <v>1973</v>
      </c>
      <c r="EI9" s="354">
        <v>762</v>
      </c>
      <c r="EJ9" s="354">
        <v>469</v>
      </c>
      <c r="EK9" s="354">
        <v>745</v>
      </c>
      <c r="EL9" s="354" t="s">
        <v>249</v>
      </c>
      <c r="EM9" s="354">
        <v>2025</v>
      </c>
      <c r="EN9" s="354">
        <v>815</v>
      </c>
      <c r="EO9" s="354">
        <v>471</v>
      </c>
      <c r="EP9" s="354">
        <v>741</v>
      </c>
      <c r="EQ9" s="354" t="s">
        <v>249</v>
      </c>
      <c r="ER9" s="362">
        <f t="shared" si="2"/>
        <v>7344</v>
      </c>
      <c r="ES9" s="354">
        <f t="shared" si="2"/>
        <v>2956</v>
      </c>
      <c r="ET9" s="354">
        <f t="shared" si="2"/>
        <v>1621</v>
      </c>
      <c r="EU9" s="354">
        <f t="shared" si="2"/>
        <v>2762</v>
      </c>
      <c r="EV9" s="359" t="s">
        <v>249</v>
      </c>
      <c r="EW9" s="354">
        <v>1714</v>
      </c>
      <c r="EX9" s="354">
        <v>727</v>
      </c>
      <c r="EY9" s="354">
        <v>374</v>
      </c>
      <c r="EZ9" s="354">
        <v>626</v>
      </c>
      <c r="FA9" s="354" t="s">
        <v>249</v>
      </c>
      <c r="FB9" s="354">
        <v>1881</v>
      </c>
      <c r="FC9" s="354">
        <v>792</v>
      </c>
      <c r="FD9" s="354">
        <v>435</v>
      </c>
      <c r="FE9" s="354">
        <v>667</v>
      </c>
      <c r="FF9" s="354" t="s">
        <v>249</v>
      </c>
      <c r="FG9" s="354">
        <v>1937</v>
      </c>
      <c r="FH9" s="354">
        <v>783</v>
      </c>
      <c r="FI9" s="354">
        <v>469</v>
      </c>
      <c r="FJ9" s="354">
        <v>700</v>
      </c>
      <c r="FK9" s="354" t="s">
        <v>249</v>
      </c>
      <c r="FL9" s="354">
        <v>1852</v>
      </c>
      <c r="FM9" s="354">
        <v>769</v>
      </c>
      <c r="FN9" s="354">
        <v>463</v>
      </c>
      <c r="FO9" s="354">
        <v>645</v>
      </c>
      <c r="FP9" s="354" t="s">
        <v>249</v>
      </c>
      <c r="FQ9" s="362">
        <f t="shared" ref="FQ9:FQ18" si="8">EW9+FB9+FG9+FL9</f>
        <v>7384</v>
      </c>
      <c r="FR9" s="354">
        <f t="shared" si="3"/>
        <v>3071</v>
      </c>
      <c r="FS9" s="354">
        <f t="shared" si="3"/>
        <v>1741</v>
      </c>
      <c r="FT9" s="354">
        <f t="shared" si="3"/>
        <v>2638</v>
      </c>
      <c r="FU9" s="354" t="s">
        <v>249</v>
      </c>
      <c r="FV9" s="354">
        <v>1667</v>
      </c>
      <c r="FW9" s="354">
        <v>751</v>
      </c>
      <c r="FX9" s="354">
        <v>357</v>
      </c>
      <c r="FY9" s="354">
        <v>567</v>
      </c>
      <c r="FZ9" s="354" t="s">
        <v>249</v>
      </c>
      <c r="GA9" s="577"/>
    </row>
    <row r="10" spans="2:183" ht="33.75">
      <c r="B10" s="355" t="str">
        <f>names!A1919</f>
        <v>Średnie destylaty
[olej napędowy, lekki olej opałowy, paliwo lotnicze]</v>
      </c>
      <c r="C10" s="356">
        <v>3107</v>
      </c>
      <c r="D10" s="356">
        <v>1562</v>
      </c>
      <c r="E10" s="356">
        <v>409</v>
      </c>
      <c r="F10" s="356">
        <v>1129</v>
      </c>
      <c r="G10" s="357" t="s">
        <v>249</v>
      </c>
      <c r="H10" s="356">
        <v>3025</v>
      </c>
      <c r="I10" s="356">
        <v>1654</v>
      </c>
      <c r="J10" s="356">
        <v>437</v>
      </c>
      <c r="K10" s="356">
        <v>927</v>
      </c>
      <c r="L10" s="357" t="s">
        <v>249</v>
      </c>
      <c r="M10" s="356">
        <v>3498</v>
      </c>
      <c r="N10" s="356">
        <v>1945</v>
      </c>
      <c r="O10" s="356">
        <v>436</v>
      </c>
      <c r="P10" s="356">
        <v>1109</v>
      </c>
      <c r="Q10" s="357" t="s">
        <v>249</v>
      </c>
      <c r="R10" s="356">
        <v>3290</v>
      </c>
      <c r="S10" s="357">
        <v>1868</v>
      </c>
      <c r="T10" s="357">
        <v>426</v>
      </c>
      <c r="U10" s="357">
        <v>986</v>
      </c>
      <c r="V10" s="357" t="s">
        <v>249</v>
      </c>
      <c r="W10" s="368">
        <f t="shared" si="4"/>
        <v>12920</v>
      </c>
      <c r="X10" s="356">
        <f t="shared" si="4"/>
        <v>7029</v>
      </c>
      <c r="Y10" s="356">
        <f t="shared" si="4"/>
        <v>1708</v>
      </c>
      <c r="Z10" s="356">
        <f t="shared" si="4"/>
        <v>4151</v>
      </c>
      <c r="AA10" s="356" t="s">
        <v>249</v>
      </c>
      <c r="AB10" s="358">
        <v>2801</v>
      </c>
      <c r="AC10" s="358">
        <v>1601</v>
      </c>
      <c r="AD10" s="358">
        <v>527</v>
      </c>
      <c r="AE10" s="358">
        <v>660</v>
      </c>
      <c r="AF10" s="359" t="s">
        <v>249</v>
      </c>
      <c r="AG10" s="358">
        <v>2956</v>
      </c>
      <c r="AH10" s="358">
        <v>1415</v>
      </c>
      <c r="AI10" s="358">
        <v>633</v>
      </c>
      <c r="AJ10" s="358">
        <v>897</v>
      </c>
      <c r="AK10" s="359" t="s">
        <v>249</v>
      </c>
      <c r="AL10" s="358">
        <v>3459</v>
      </c>
      <c r="AM10" s="358">
        <v>1842</v>
      </c>
      <c r="AN10" s="358">
        <v>659</v>
      </c>
      <c r="AO10" s="358">
        <v>951</v>
      </c>
      <c r="AP10" s="359" t="s">
        <v>249</v>
      </c>
      <c r="AQ10" s="358">
        <v>3313</v>
      </c>
      <c r="AR10" s="358">
        <v>1668</v>
      </c>
      <c r="AS10" s="358">
        <v>614</v>
      </c>
      <c r="AT10" s="358">
        <v>1023</v>
      </c>
      <c r="AU10" s="359" t="s">
        <v>249</v>
      </c>
      <c r="AV10" s="363">
        <f t="shared" si="5"/>
        <v>12529</v>
      </c>
      <c r="AW10" s="358">
        <f t="shared" si="5"/>
        <v>6526</v>
      </c>
      <c r="AX10" s="358">
        <f t="shared" si="5"/>
        <v>2433</v>
      </c>
      <c r="AY10" s="358">
        <f t="shared" si="5"/>
        <v>3531</v>
      </c>
      <c r="AZ10" s="359" t="s">
        <v>249</v>
      </c>
      <c r="BA10" s="358">
        <v>3063</v>
      </c>
      <c r="BB10" s="358">
        <v>1684</v>
      </c>
      <c r="BC10" s="358">
        <v>590</v>
      </c>
      <c r="BD10" s="358">
        <v>780</v>
      </c>
      <c r="BE10" s="359" t="s">
        <v>249</v>
      </c>
      <c r="BF10" s="358">
        <v>3888</v>
      </c>
      <c r="BG10" s="358">
        <v>1912</v>
      </c>
      <c r="BH10" s="358">
        <v>878</v>
      </c>
      <c r="BI10" s="358">
        <v>1086</v>
      </c>
      <c r="BJ10" s="358"/>
      <c r="BK10" s="359">
        <v>3928</v>
      </c>
      <c r="BL10" s="359">
        <v>1966</v>
      </c>
      <c r="BM10" s="359">
        <v>906</v>
      </c>
      <c r="BN10" s="359">
        <v>1047</v>
      </c>
      <c r="BO10" s="359" t="s">
        <v>249</v>
      </c>
      <c r="BP10" s="359">
        <v>3765</v>
      </c>
      <c r="BQ10" s="359">
        <v>1889</v>
      </c>
      <c r="BR10" s="359">
        <v>795</v>
      </c>
      <c r="BS10" s="359">
        <v>1067</v>
      </c>
      <c r="BT10" s="359" t="s">
        <v>249</v>
      </c>
      <c r="BU10" s="363">
        <f t="shared" si="6"/>
        <v>14644</v>
      </c>
      <c r="BV10" s="359">
        <f>BB10+BG10+BL10+BQ10</f>
        <v>7451</v>
      </c>
      <c r="BW10" s="359">
        <f t="shared" si="7"/>
        <v>3169</v>
      </c>
      <c r="BX10" s="359">
        <f>BD10+BI10+BN10+BS10</f>
        <v>3980</v>
      </c>
      <c r="BY10" s="359" t="s">
        <v>249</v>
      </c>
      <c r="BZ10" s="359">
        <v>3393</v>
      </c>
      <c r="CA10" s="359">
        <v>1659</v>
      </c>
      <c r="CB10" s="359">
        <v>697</v>
      </c>
      <c r="CC10" s="359">
        <v>1021</v>
      </c>
      <c r="CD10" s="359" t="s">
        <v>249</v>
      </c>
      <c r="CE10" s="359">
        <v>3277</v>
      </c>
      <c r="CF10" s="359">
        <v>1749</v>
      </c>
      <c r="CG10" s="359">
        <v>531</v>
      </c>
      <c r="CH10" s="359">
        <v>987</v>
      </c>
      <c r="CI10" s="359" t="s">
        <v>249</v>
      </c>
      <c r="CJ10" s="359">
        <v>3586</v>
      </c>
      <c r="CK10" s="359">
        <v>1940</v>
      </c>
      <c r="CL10" s="359">
        <v>549</v>
      </c>
      <c r="CM10" s="359">
        <v>1086</v>
      </c>
      <c r="CN10" s="359" t="s">
        <v>249</v>
      </c>
      <c r="CO10" s="359">
        <v>3987</v>
      </c>
      <c r="CP10" s="359">
        <v>1870</v>
      </c>
      <c r="CQ10" s="359">
        <v>961</v>
      </c>
      <c r="CR10" s="359">
        <v>1143</v>
      </c>
      <c r="CS10" s="359" t="s">
        <v>249</v>
      </c>
      <c r="CT10" s="363">
        <f t="shared" si="0"/>
        <v>14243</v>
      </c>
      <c r="CU10" s="359">
        <f t="shared" si="0"/>
        <v>7218</v>
      </c>
      <c r="CV10" s="359">
        <f t="shared" si="0"/>
        <v>2738</v>
      </c>
      <c r="CW10" s="359">
        <f t="shared" si="0"/>
        <v>4237</v>
      </c>
      <c r="CX10" s="359" t="s">
        <v>249</v>
      </c>
      <c r="CY10" s="359">
        <v>3622</v>
      </c>
      <c r="CZ10" s="359">
        <v>1709</v>
      </c>
      <c r="DA10" s="359">
        <v>919</v>
      </c>
      <c r="DB10" s="359">
        <v>980</v>
      </c>
      <c r="DC10" s="359" t="s">
        <v>249</v>
      </c>
      <c r="DD10" s="359">
        <v>3568</v>
      </c>
      <c r="DE10" s="359">
        <v>1498</v>
      </c>
      <c r="DF10" s="359">
        <v>1005</v>
      </c>
      <c r="DG10" s="359">
        <v>1076</v>
      </c>
      <c r="DH10" s="359" t="s">
        <v>249</v>
      </c>
      <c r="DI10" s="359">
        <v>4212</v>
      </c>
      <c r="DJ10" s="359">
        <v>2021</v>
      </c>
      <c r="DK10" s="359">
        <v>1001</v>
      </c>
      <c r="DL10" s="359">
        <v>1188</v>
      </c>
      <c r="DM10" s="359" t="s">
        <v>249</v>
      </c>
      <c r="DN10" s="359">
        <v>4004</v>
      </c>
      <c r="DO10" s="359">
        <v>2101</v>
      </c>
      <c r="DP10" s="359">
        <v>745</v>
      </c>
      <c r="DQ10" s="359">
        <v>1188</v>
      </c>
      <c r="DR10" s="359" t="s">
        <v>249</v>
      </c>
      <c r="DS10" s="363">
        <f t="shared" si="1"/>
        <v>15406</v>
      </c>
      <c r="DT10" s="359">
        <f t="shared" si="1"/>
        <v>7329</v>
      </c>
      <c r="DU10" s="359">
        <f t="shared" si="1"/>
        <v>3670</v>
      </c>
      <c r="DV10" s="359">
        <f t="shared" si="1"/>
        <v>4432</v>
      </c>
      <c r="DW10" s="359" t="s">
        <v>249</v>
      </c>
      <c r="DX10" s="359">
        <v>3971</v>
      </c>
      <c r="DY10" s="359">
        <v>2031</v>
      </c>
      <c r="DZ10" s="359">
        <v>884</v>
      </c>
      <c r="EA10" s="359">
        <v>1045</v>
      </c>
      <c r="EB10" s="359" t="s">
        <v>249</v>
      </c>
      <c r="EC10" s="359">
        <v>3595</v>
      </c>
      <c r="ED10" s="359">
        <v>1855</v>
      </c>
      <c r="EE10" s="359">
        <v>769</v>
      </c>
      <c r="EF10" s="359">
        <v>982</v>
      </c>
      <c r="EG10" s="359" t="s">
        <v>249</v>
      </c>
      <c r="EH10" s="359">
        <v>4136</v>
      </c>
      <c r="EI10" s="359">
        <v>1918</v>
      </c>
      <c r="EJ10" s="359">
        <v>996</v>
      </c>
      <c r="EK10" s="359">
        <v>1212</v>
      </c>
      <c r="EL10" s="359" t="s">
        <v>249</v>
      </c>
      <c r="EM10" s="359">
        <v>4114</v>
      </c>
      <c r="EN10" s="359">
        <v>1926</v>
      </c>
      <c r="EO10" s="359">
        <v>998</v>
      </c>
      <c r="EP10" s="359">
        <v>1171</v>
      </c>
      <c r="EQ10" s="359" t="s">
        <v>249</v>
      </c>
      <c r="ER10" s="363">
        <f t="shared" si="2"/>
        <v>15816</v>
      </c>
      <c r="ES10" s="359">
        <f t="shared" si="2"/>
        <v>7730</v>
      </c>
      <c r="ET10" s="359">
        <f t="shared" si="2"/>
        <v>3647</v>
      </c>
      <c r="EU10" s="359">
        <f t="shared" si="2"/>
        <v>4410</v>
      </c>
      <c r="EV10" s="359" t="s">
        <v>249</v>
      </c>
      <c r="EW10" s="359">
        <v>3867</v>
      </c>
      <c r="EX10" s="359">
        <v>2009</v>
      </c>
      <c r="EY10" s="359">
        <v>866</v>
      </c>
      <c r="EZ10" s="359">
        <v>986</v>
      </c>
      <c r="FA10" s="359" t="s">
        <v>249</v>
      </c>
      <c r="FB10" s="359">
        <v>4077</v>
      </c>
      <c r="FC10" s="359">
        <v>2056</v>
      </c>
      <c r="FD10" s="359">
        <v>904</v>
      </c>
      <c r="FE10" s="359">
        <v>1114</v>
      </c>
      <c r="FF10" s="359" t="s">
        <v>249</v>
      </c>
      <c r="FG10" s="359">
        <v>4285</v>
      </c>
      <c r="FH10" s="359">
        <v>2063</v>
      </c>
      <c r="FI10" s="359">
        <v>1049</v>
      </c>
      <c r="FJ10" s="359">
        <v>1158</v>
      </c>
      <c r="FK10" s="359" t="s">
        <v>249</v>
      </c>
      <c r="FL10" s="359">
        <v>4060</v>
      </c>
      <c r="FM10" s="359">
        <v>2004</v>
      </c>
      <c r="FN10" s="359">
        <v>976</v>
      </c>
      <c r="FO10" s="359">
        <v>1069</v>
      </c>
      <c r="FP10" s="359" t="s">
        <v>249</v>
      </c>
      <c r="FQ10" s="363">
        <f t="shared" si="8"/>
        <v>16289</v>
      </c>
      <c r="FR10" s="359">
        <f t="shared" si="3"/>
        <v>8132</v>
      </c>
      <c r="FS10" s="359">
        <f t="shared" si="3"/>
        <v>3795</v>
      </c>
      <c r="FT10" s="359">
        <f t="shared" si="3"/>
        <v>4327</v>
      </c>
      <c r="FU10" s="359" t="s">
        <v>249</v>
      </c>
      <c r="FV10" s="359">
        <v>3675</v>
      </c>
      <c r="FW10" s="359">
        <v>1944</v>
      </c>
      <c r="FX10" s="359">
        <v>813</v>
      </c>
      <c r="FY10" s="359">
        <v>898</v>
      </c>
      <c r="FZ10" s="359" t="s">
        <v>249</v>
      </c>
      <c r="GA10" s="577"/>
    </row>
    <row r="11" spans="2:183" ht="22.5">
      <c r="B11" s="355" t="str">
        <f>names!A1920</f>
        <v>Frakcje ciężkie 
[ciężki olej opałowy, asfalt, oleje]</v>
      </c>
      <c r="C11" s="356">
        <v>1121</v>
      </c>
      <c r="D11" s="356">
        <v>444</v>
      </c>
      <c r="E11" s="356">
        <v>69</v>
      </c>
      <c r="F11" s="356">
        <v>508</v>
      </c>
      <c r="G11" s="357" t="s">
        <v>249</v>
      </c>
      <c r="H11" s="356">
        <v>1165</v>
      </c>
      <c r="I11" s="356">
        <v>398</v>
      </c>
      <c r="J11" s="356">
        <v>95</v>
      </c>
      <c r="K11" s="356">
        <v>420</v>
      </c>
      <c r="L11" s="357" t="s">
        <v>249</v>
      </c>
      <c r="M11" s="356">
        <v>1363</v>
      </c>
      <c r="N11" s="356">
        <v>381</v>
      </c>
      <c r="O11" s="356">
        <v>101</v>
      </c>
      <c r="P11" s="356">
        <v>489</v>
      </c>
      <c r="Q11" s="357" t="s">
        <v>249</v>
      </c>
      <c r="R11" s="356">
        <v>1207</v>
      </c>
      <c r="S11" s="357">
        <v>381</v>
      </c>
      <c r="T11" s="357">
        <v>92</v>
      </c>
      <c r="U11" s="357">
        <v>451</v>
      </c>
      <c r="V11" s="357" t="s">
        <v>249</v>
      </c>
      <c r="W11" s="368">
        <f t="shared" si="4"/>
        <v>4856</v>
      </c>
      <c r="X11" s="356">
        <f t="shared" si="4"/>
        <v>1604</v>
      </c>
      <c r="Y11" s="356">
        <f t="shared" si="4"/>
        <v>357</v>
      </c>
      <c r="Z11" s="356">
        <f t="shared" si="4"/>
        <v>1868</v>
      </c>
      <c r="AA11" s="356" t="s">
        <v>249</v>
      </c>
      <c r="AB11" s="358">
        <v>877</v>
      </c>
      <c r="AC11" s="358">
        <v>434</v>
      </c>
      <c r="AD11" s="358">
        <v>76</v>
      </c>
      <c r="AE11" s="358">
        <v>267</v>
      </c>
      <c r="AF11" s="359" t="s">
        <v>249</v>
      </c>
      <c r="AG11" s="358">
        <v>1074</v>
      </c>
      <c r="AH11" s="358">
        <v>343</v>
      </c>
      <c r="AI11" s="358">
        <v>104</v>
      </c>
      <c r="AJ11" s="358">
        <v>392</v>
      </c>
      <c r="AK11" s="359" t="s">
        <v>249</v>
      </c>
      <c r="AL11" s="358">
        <v>1362</v>
      </c>
      <c r="AM11" s="358">
        <v>443</v>
      </c>
      <c r="AN11" s="358">
        <v>133</v>
      </c>
      <c r="AO11" s="358">
        <v>397</v>
      </c>
      <c r="AP11" s="359" t="s">
        <v>249</v>
      </c>
      <c r="AQ11" s="358">
        <v>1203</v>
      </c>
      <c r="AR11" s="358">
        <v>390</v>
      </c>
      <c r="AS11" s="358">
        <v>104</v>
      </c>
      <c r="AT11" s="358">
        <v>439</v>
      </c>
      <c r="AU11" s="359" t="s">
        <v>249</v>
      </c>
      <c r="AV11" s="363">
        <f t="shared" si="5"/>
        <v>4516</v>
      </c>
      <c r="AW11" s="358">
        <f t="shared" si="5"/>
        <v>1610</v>
      </c>
      <c r="AX11" s="358">
        <f t="shared" si="5"/>
        <v>417</v>
      </c>
      <c r="AY11" s="358">
        <f t="shared" si="5"/>
        <v>1495</v>
      </c>
      <c r="AZ11" s="359" t="s">
        <v>249</v>
      </c>
      <c r="BA11" s="358">
        <v>961</v>
      </c>
      <c r="BB11" s="358">
        <v>509</v>
      </c>
      <c r="BC11" s="358">
        <v>99</v>
      </c>
      <c r="BD11" s="358">
        <v>320</v>
      </c>
      <c r="BE11" s="359" t="s">
        <v>249</v>
      </c>
      <c r="BF11" s="358">
        <v>1244</v>
      </c>
      <c r="BG11" s="358">
        <v>644</v>
      </c>
      <c r="BH11" s="358">
        <v>174</v>
      </c>
      <c r="BI11" s="358">
        <v>448</v>
      </c>
      <c r="BJ11" s="358"/>
      <c r="BK11" s="359">
        <v>1243</v>
      </c>
      <c r="BL11" s="359">
        <v>667</v>
      </c>
      <c r="BM11" s="359">
        <v>159</v>
      </c>
      <c r="BN11" s="359">
        <v>388</v>
      </c>
      <c r="BO11" s="359" t="s">
        <v>249</v>
      </c>
      <c r="BP11" s="359">
        <v>1101</v>
      </c>
      <c r="BQ11" s="359">
        <v>519</v>
      </c>
      <c r="BR11" s="359">
        <v>108</v>
      </c>
      <c r="BS11" s="359">
        <v>448</v>
      </c>
      <c r="BT11" s="359" t="s">
        <v>249</v>
      </c>
      <c r="BU11" s="363">
        <f t="shared" si="6"/>
        <v>4549</v>
      </c>
      <c r="BV11" s="359">
        <f>BB11+BG11+BL11+BQ11</f>
        <v>2339</v>
      </c>
      <c r="BW11" s="359">
        <f t="shared" si="7"/>
        <v>540</v>
      </c>
      <c r="BX11" s="359">
        <f>BD11+BI11+BN11+BS11</f>
        <v>1604</v>
      </c>
      <c r="BY11" s="359" t="s">
        <v>249</v>
      </c>
      <c r="BZ11" s="359">
        <v>982</v>
      </c>
      <c r="CA11" s="359">
        <v>397</v>
      </c>
      <c r="CB11" s="359">
        <v>82</v>
      </c>
      <c r="CC11" s="359">
        <v>476</v>
      </c>
      <c r="CD11" s="359" t="s">
        <v>249</v>
      </c>
      <c r="CE11" s="359">
        <v>1066</v>
      </c>
      <c r="CF11" s="359">
        <v>540</v>
      </c>
      <c r="CG11" s="359">
        <v>92</v>
      </c>
      <c r="CH11" s="359">
        <v>417</v>
      </c>
      <c r="CI11" s="359" t="s">
        <v>249</v>
      </c>
      <c r="CJ11" s="359">
        <v>1345</v>
      </c>
      <c r="CK11" s="359">
        <v>672</v>
      </c>
      <c r="CL11" s="359">
        <v>118</v>
      </c>
      <c r="CM11" s="359">
        <v>513</v>
      </c>
      <c r="CN11" s="359" t="s">
        <v>249</v>
      </c>
      <c r="CO11" s="359">
        <v>1154</v>
      </c>
      <c r="CP11" s="359">
        <v>424</v>
      </c>
      <c r="CQ11" s="359">
        <v>169</v>
      </c>
      <c r="CR11" s="359">
        <v>528</v>
      </c>
      <c r="CS11" s="359" t="s">
        <v>249</v>
      </c>
      <c r="CT11" s="363">
        <f t="shared" si="0"/>
        <v>4547</v>
      </c>
      <c r="CU11" s="359">
        <f t="shared" si="0"/>
        <v>2033</v>
      </c>
      <c r="CV11" s="359">
        <f t="shared" si="0"/>
        <v>461</v>
      </c>
      <c r="CW11" s="359">
        <f t="shared" si="0"/>
        <v>1934</v>
      </c>
      <c r="CX11" s="359" t="s">
        <v>249</v>
      </c>
      <c r="CY11" s="359">
        <v>1084</v>
      </c>
      <c r="CZ11" s="359">
        <v>498</v>
      </c>
      <c r="DA11" s="359">
        <v>145</v>
      </c>
      <c r="DB11" s="359">
        <v>436</v>
      </c>
      <c r="DC11" s="359" t="s">
        <v>249</v>
      </c>
      <c r="DD11" s="359">
        <v>1072</v>
      </c>
      <c r="DE11" s="359">
        <v>471</v>
      </c>
      <c r="DF11" s="359">
        <v>194</v>
      </c>
      <c r="DG11" s="359">
        <v>405</v>
      </c>
      <c r="DH11" s="359" t="s">
        <v>249</v>
      </c>
      <c r="DI11" s="359">
        <v>1398</v>
      </c>
      <c r="DJ11" s="359">
        <v>669</v>
      </c>
      <c r="DK11" s="359">
        <v>212</v>
      </c>
      <c r="DL11" s="359">
        <v>508</v>
      </c>
      <c r="DM11" s="359" t="s">
        <v>249</v>
      </c>
      <c r="DN11" s="359">
        <v>1333</v>
      </c>
      <c r="DO11" s="359">
        <v>654</v>
      </c>
      <c r="DP11" s="359">
        <v>172</v>
      </c>
      <c r="DQ11" s="359">
        <v>492</v>
      </c>
      <c r="DR11" s="359" t="s">
        <v>249</v>
      </c>
      <c r="DS11" s="363">
        <f t="shared" si="1"/>
        <v>4887</v>
      </c>
      <c r="DT11" s="359">
        <f t="shared" si="1"/>
        <v>2292</v>
      </c>
      <c r="DU11" s="359">
        <f t="shared" si="1"/>
        <v>723</v>
      </c>
      <c r="DV11" s="359">
        <f t="shared" si="1"/>
        <v>1841</v>
      </c>
      <c r="DW11" s="359" t="s">
        <v>249</v>
      </c>
      <c r="DX11" s="359">
        <v>1095</v>
      </c>
      <c r="DY11" s="359">
        <v>487</v>
      </c>
      <c r="DZ11" s="359">
        <v>144</v>
      </c>
      <c r="EA11" s="359">
        <v>462</v>
      </c>
      <c r="EB11" s="359" t="s">
        <v>249</v>
      </c>
      <c r="EC11" s="359">
        <v>1213</v>
      </c>
      <c r="ED11" s="359">
        <v>629</v>
      </c>
      <c r="EE11" s="359">
        <v>195</v>
      </c>
      <c r="EF11" s="359">
        <v>385</v>
      </c>
      <c r="EG11" s="359" t="s">
        <v>249</v>
      </c>
      <c r="EH11" s="359">
        <v>1341</v>
      </c>
      <c r="EI11" s="359">
        <v>638</v>
      </c>
      <c r="EJ11" s="359">
        <v>192</v>
      </c>
      <c r="EK11" s="359">
        <v>514</v>
      </c>
      <c r="EL11" s="359" t="s">
        <v>249</v>
      </c>
      <c r="EM11" s="359">
        <v>1325</v>
      </c>
      <c r="EN11" s="359">
        <v>646</v>
      </c>
      <c r="EO11" s="359">
        <v>171</v>
      </c>
      <c r="EP11" s="359">
        <v>511</v>
      </c>
      <c r="EQ11" s="359" t="s">
        <v>249</v>
      </c>
      <c r="ER11" s="363">
        <f t="shared" si="2"/>
        <v>4974</v>
      </c>
      <c r="ES11" s="359">
        <f t="shared" si="2"/>
        <v>2400</v>
      </c>
      <c r="ET11" s="359">
        <f t="shared" si="2"/>
        <v>702</v>
      </c>
      <c r="EU11" s="359">
        <f t="shared" si="2"/>
        <v>1872</v>
      </c>
      <c r="EV11" s="359" t="s">
        <v>249</v>
      </c>
      <c r="EW11" s="359">
        <v>1060</v>
      </c>
      <c r="EX11" s="359">
        <v>487</v>
      </c>
      <c r="EY11" s="359">
        <v>152</v>
      </c>
      <c r="EZ11" s="359">
        <v>418</v>
      </c>
      <c r="FA11" s="359" t="s">
        <v>249</v>
      </c>
      <c r="FB11" s="359">
        <v>1138</v>
      </c>
      <c r="FC11" s="359">
        <v>482</v>
      </c>
      <c r="FD11" s="359">
        <v>164</v>
      </c>
      <c r="FE11" s="359">
        <v>492</v>
      </c>
      <c r="FF11" s="359" t="s">
        <v>249</v>
      </c>
      <c r="FG11" s="359">
        <v>1303</v>
      </c>
      <c r="FH11" s="359">
        <v>556</v>
      </c>
      <c r="FI11" s="359">
        <v>198</v>
      </c>
      <c r="FJ11" s="359">
        <v>539</v>
      </c>
      <c r="FK11" s="359" t="s">
        <v>249</v>
      </c>
      <c r="FL11" s="359">
        <v>1224</v>
      </c>
      <c r="FM11" s="359">
        <v>625</v>
      </c>
      <c r="FN11" s="359">
        <v>168</v>
      </c>
      <c r="FO11" s="359">
        <v>430</v>
      </c>
      <c r="FP11" s="359" t="s">
        <v>249</v>
      </c>
      <c r="FQ11" s="363">
        <f t="shared" si="8"/>
        <v>4725</v>
      </c>
      <c r="FR11" s="359">
        <f t="shared" si="3"/>
        <v>2150</v>
      </c>
      <c r="FS11" s="359">
        <f t="shared" si="3"/>
        <v>682</v>
      </c>
      <c r="FT11" s="359">
        <f t="shared" si="3"/>
        <v>1879</v>
      </c>
      <c r="FU11" s="359" t="s">
        <v>249</v>
      </c>
      <c r="FV11" s="359">
        <v>917</v>
      </c>
      <c r="FW11" s="359">
        <v>428</v>
      </c>
      <c r="FX11" s="359">
        <v>121</v>
      </c>
      <c r="FY11" s="359">
        <v>372</v>
      </c>
      <c r="FZ11" s="359" t="s">
        <v>249</v>
      </c>
      <c r="GA11" s="577"/>
    </row>
    <row r="12" spans="2:183" ht="22.5">
      <c r="B12" s="350" t="str">
        <f>names!A1921</f>
        <v xml:space="preserve">Monomery
[etylen, propylen] </v>
      </c>
      <c r="C12" s="351">
        <v>213</v>
      </c>
      <c r="D12" s="352">
        <v>218</v>
      </c>
      <c r="E12" s="352">
        <v>41</v>
      </c>
      <c r="F12" s="352" t="s">
        <v>249</v>
      </c>
      <c r="G12" s="352" t="s">
        <v>249</v>
      </c>
      <c r="H12" s="351">
        <v>194</v>
      </c>
      <c r="I12" s="352">
        <v>210</v>
      </c>
      <c r="J12" s="352">
        <v>28</v>
      </c>
      <c r="K12" s="352" t="s">
        <v>249</v>
      </c>
      <c r="L12" s="352" t="s">
        <v>249</v>
      </c>
      <c r="M12" s="351">
        <v>198</v>
      </c>
      <c r="N12" s="352">
        <v>215</v>
      </c>
      <c r="O12" s="352">
        <v>27</v>
      </c>
      <c r="P12" s="352" t="s">
        <v>249</v>
      </c>
      <c r="Q12" s="352" t="s">
        <v>249</v>
      </c>
      <c r="R12" s="351">
        <v>194</v>
      </c>
      <c r="S12" s="352">
        <v>195</v>
      </c>
      <c r="T12" s="352">
        <v>43</v>
      </c>
      <c r="U12" s="352" t="s">
        <v>249</v>
      </c>
      <c r="V12" s="352" t="s">
        <v>249</v>
      </c>
      <c r="W12" s="367">
        <f t="shared" si="4"/>
        <v>799</v>
      </c>
      <c r="X12" s="351">
        <f t="shared" si="4"/>
        <v>838</v>
      </c>
      <c r="Y12" s="351">
        <f t="shared" si="4"/>
        <v>139</v>
      </c>
      <c r="Z12" s="351" t="s">
        <v>249</v>
      </c>
      <c r="AA12" s="351" t="s">
        <v>249</v>
      </c>
      <c r="AB12" s="354">
        <v>215</v>
      </c>
      <c r="AC12" s="354">
        <v>215</v>
      </c>
      <c r="AD12" s="354">
        <v>51</v>
      </c>
      <c r="AE12" s="354" t="s">
        <v>249</v>
      </c>
      <c r="AF12" s="354" t="s">
        <v>249</v>
      </c>
      <c r="AG12" s="354">
        <v>205</v>
      </c>
      <c r="AH12" s="354">
        <v>200</v>
      </c>
      <c r="AI12" s="354">
        <v>47</v>
      </c>
      <c r="AJ12" s="354" t="s">
        <v>249</v>
      </c>
      <c r="AK12" s="354" t="s">
        <v>249</v>
      </c>
      <c r="AL12" s="354">
        <v>182</v>
      </c>
      <c r="AM12" s="354">
        <v>181</v>
      </c>
      <c r="AN12" s="354">
        <v>45</v>
      </c>
      <c r="AO12" s="354" t="s">
        <v>249</v>
      </c>
      <c r="AP12" s="354" t="s">
        <v>249</v>
      </c>
      <c r="AQ12" s="354">
        <v>217</v>
      </c>
      <c r="AR12" s="354">
        <v>216</v>
      </c>
      <c r="AS12" s="354">
        <v>46</v>
      </c>
      <c r="AT12" s="354" t="s">
        <v>249</v>
      </c>
      <c r="AU12" s="354" t="s">
        <v>249</v>
      </c>
      <c r="AV12" s="364">
        <f t="shared" si="5"/>
        <v>819</v>
      </c>
      <c r="AW12" s="354">
        <f t="shared" si="5"/>
        <v>812</v>
      </c>
      <c r="AX12" s="354">
        <f t="shared" si="5"/>
        <v>189</v>
      </c>
      <c r="AY12" s="354" t="s">
        <v>249</v>
      </c>
      <c r="AZ12" s="359" t="s">
        <v>249</v>
      </c>
      <c r="BA12" s="354">
        <v>230</v>
      </c>
      <c r="BB12" s="354">
        <v>236</v>
      </c>
      <c r="BC12" s="354">
        <v>46</v>
      </c>
      <c r="BD12" s="354" t="s">
        <v>249</v>
      </c>
      <c r="BE12" s="354" t="s">
        <v>249</v>
      </c>
      <c r="BF12" s="354">
        <v>247</v>
      </c>
      <c r="BG12" s="354">
        <v>241</v>
      </c>
      <c r="BH12" s="354">
        <v>58</v>
      </c>
      <c r="BI12" s="354" t="s">
        <v>249</v>
      </c>
      <c r="BJ12" s="354"/>
      <c r="BK12" s="354">
        <v>156</v>
      </c>
      <c r="BL12" s="354">
        <v>218</v>
      </c>
      <c r="BM12" s="354">
        <v>18</v>
      </c>
      <c r="BN12" s="354" t="s">
        <v>249</v>
      </c>
      <c r="BO12" s="354" t="s">
        <v>249</v>
      </c>
      <c r="BP12" s="354">
        <v>203</v>
      </c>
      <c r="BQ12" s="354">
        <v>241</v>
      </c>
      <c r="BR12" s="354">
        <v>2</v>
      </c>
      <c r="BS12" s="354" t="s">
        <v>249</v>
      </c>
      <c r="BT12" s="354" t="s">
        <v>249</v>
      </c>
      <c r="BU12" s="364">
        <f t="shared" si="6"/>
        <v>836</v>
      </c>
      <c r="BV12" s="354">
        <f>BB12+BG12+BL12+BQ12</f>
        <v>936</v>
      </c>
      <c r="BW12" s="354">
        <f t="shared" si="7"/>
        <v>124</v>
      </c>
      <c r="BX12" s="354" t="s">
        <v>249</v>
      </c>
      <c r="BY12" s="354" t="s">
        <v>249</v>
      </c>
      <c r="BZ12" s="354">
        <v>204</v>
      </c>
      <c r="CA12" s="354">
        <v>240</v>
      </c>
      <c r="CB12" s="354">
        <v>1</v>
      </c>
      <c r="CC12" s="354" t="s">
        <v>249</v>
      </c>
      <c r="CD12" s="354" t="s">
        <v>249</v>
      </c>
      <c r="CE12" s="354">
        <v>181</v>
      </c>
      <c r="CF12" s="354">
        <v>229</v>
      </c>
      <c r="CG12" s="354">
        <v>1</v>
      </c>
      <c r="CH12" s="354" t="s">
        <v>249</v>
      </c>
      <c r="CI12" s="354" t="s">
        <v>249</v>
      </c>
      <c r="CJ12" s="354">
        <v>151</v>
      </c>
      <c r="CK12" s="354">
        <v>188</v>
      </c>
      <c r="CL12" s="354" t="s">
        <v>249</v>
      </c>
      <c r="CM12" s="354" t="s">
        <v>249</v>
      </c>
      <c r="CN12" s="354" t="s">
        <v>249</v>
      </c>
      <c r="CO12" s="354">
        <v>144</v>
      </c>
      <c r="CP12" s="354">
        <v>125</v>
      </c>
      <c r="CQ12" s="354">
        <v>48</v>
      </c>
      <c r="CR12" s="354" t="s">
        <v>249</v>
      </c>
      <c r="CS12" s="354" t="s">
        <v>249</v>
      </c>
      <c r="CT12" s="364">
        <f>BZ12+CE12+CJ12+CO12</f>
        <v>680</v>
      </c>
      <c r="CU12" s="354">
        <f>CA12+CF12+CK12+CP12</f>
        <v>782</v>
      </c>
      <c r="CV12" s="359">
        <f>CB12+CG12+CQ12</f>
        <v>50</v>
      </c>
      <c r="CW12" s="359" t="s">
        <v>249</v>
      </c>
      <c r="CX12" s="359" t="s">
        <v>249</v>
      </c>
      <c r="CY12" s="354">
        <v>207</v>
      </c>
      <c r="CZ12" s="354">
        <v>211</v>
      </c>
      <c r="DA12" s="354">
        <v>17</v>
      </c>
      <c r="DB12" s="354" t="s">
        <v>249</v>
      </c>
      <c r="DC12" s="354" t="s">
        <v>249</v>
      </c>
      <c r="DD12" s="354">
        <v>226</v>
      </c>
      <c r="DE12" s="354">
        <v>196</v>
      </c>
      <c r="DF12" s="354">
        <v>47</v>
      </c>
      <c r="DG12" s="354" t="s">
        <v>249</v>
      </c>
      <c r="DH12" s="354" t="s">
        <v>249</v>
      </c>
      <c r="DI12" s="354">
        <v>247</v>
      </c>
      <c r="DJ12" s="354">
        <v>223</v>
      </c>
      <c r="DK12" s="354">
        <v>52</v>
      </c>
      <c r="DL12" s="354" t="s">
        <v>249</v>
      </c>
      <c r="DM12" s="354" t="s">
        <v>249</v>
      </c>
      <c r="DN12" s="354">
        <v>212</v>
      </c>
      <c r="DO12" s="354">
        <v>193</v>
      </c>
      <c r="DP12" s="354">
        <v>41</v>
      </c>
      <c r="DQ12" s="354" t="s">
        <v>249</v>
      </c>
      <c r="DR12" s="354" t="s">
        <v>249</v>
      </c>
      <c r="DS12" s="364">
        <f>CY12+DD12+DI12+DN12</f>
        <v>892</v>
      </c>
      <c r="DT12" s="354">
        <f>CZ12+DE12+DJ12+DO12</f>
        <v>823</v>
      </c>
      <c r="DU12" s="359">
        <f t="shared" si="1"/>
        <v>157</v>
      </c>
      <c r="DV12" s="359" t="s">
        <v>249</v>
      </c>
      <c r="DW12" s="359" t="s">
        <v>249</v>
      </c>
      <c r="DX12" s="354">
        <v>256</v>
      </c>
      <c r="DY12" s="354">
        <v>227</v>
      </c>
      <c r="DZ12" s="354">
        <v>57</v>
      </c>
      <c r="EA12" s="354" t="s">
        <v>249</v>
      </c>
      <c r="EB12" s="354" t="s">
        <v>249</v>
      </c>
      <c r="EC12" s="354">
        <v>215</v>
      </c>
      <c r="ED12" s="354">
        <v>190</v>
      </c>
      <c r="EE12" s="354">
        <v>44</v>
      </c>
      <c r="EF12" s="354" t="s">
        <v>249</v>
      </c>
      <c r="EG12" s="354" t="s">
        <v>249</v>
      </c>
      <c r="EH12" s="354">
        <v>221</v>
      </c>
      <c r="EI12" s="354">
        <v>212</v>
      </c>
      <c r="EJ12" s="354">
        <v>35</v>
      </c>
      <c r="EK12" s="354" t="s">
        <v>249</v>
      </c>
      <c r="EL12" s="354" t="s">
        <v>249</v>
      </c>
      <c r="EM12" s="354">
        <v>181</v>
      </c>
      <c r="EN12" s="354">
        <v>150</v>
      </c>
      <c r="EO12" s="354">
        <v>45</v>
      </c>
      <c r="EP12" s="354" t="s">
        <v>249</v>
      </c>
      <c r="EQ12" s="354" t="s">
        <v>249</v>
      </c>
      <c r="ER12" s="364">
        <f>DX12+EC12+EH12+EM12</f>
        <v>873</v>
      </c>
      <c r="ES12" s="354">
        <f>DY12+ED12+EI12+EN12</f>
        <v>779</v>
      </c>
      <c r="ET12" s="359">
        <f t="shared" si="2"/>
        <v>181</v>
      </c>
      <c r="EU12" s="359" t="s">
        <v>249</v>
      </c>
      <c r="EV12" s="359" t="s">
        <v>249</v>
      </c>
      <c r="EW12" s="354">
        <v>253</v>
      </c>
      <c r="EX12" s="354">
        <v>236</v>
      </c>
      <c r="EY12" s="354">
        <v>43</v>
      </c>
      <c r="EZ12" s="354" t="s">
        <v>249</v>
      </c>
      <c r="FA12" s="354" t="s">
        <v>249</v>
      </c>
      <c r="FB12" s="354">
        <v>284</v>
      </c>
      <c r="FC12" s="354">
        <v>252</v>
      </c>
      <c r="FD12" s="354">
        <v>49</v>
      </c>
      <c r="FE12" s="354">
        <v>13</v>
      </c>
      <c r="FF12" s="354" t="s">
        <v>249</v>
      </c>
      <c r="FG12" s="354">
        <v>266</v>
      </c>
      <c r="FH12" s="354">
        <v>222</v>
      </c>
      <c r="FI12" s="354">
        <v>49</v>
      </c>
      <c r="FJ12" s="354">
        <v>19</v>
      </c>
      <c r="FK12" s="354" t="s">
        <v>249</v>
      </c>
      <c r="FL12" s="354">
        <v>241</v>
      </c>
      <c r="FM12" s="354">
        <v>207</v>
      </c>
      <c r="FN12" s="354">
        <v>22</v>
      </c>
      <c r="FO12" s="354">
        <v>17</v>
      </c>
      <c r="FP12" s="354" t="s">
        <v>249</v>
      </c>
      <c r="FQ12" s="364">
        <f t="shared" si="8"/>
        <v>1044</v>
      </c>
      <c r="FR12" s="354">
        <f t="shared" si="3"/>
        <v>917</v>
      </c>
      <c r="FS12" s="354">
        <f t="shared" si="3"/>
        <v>163</v>
      </c>
      <c r="FT12" s="354">
        <f>FE12+FJ12+FO12</f>
        <v>49</v>
      </c>
      <c r="FU12" s="354" t="s">
        <v>249</v>
      </c>
      <c r="FV12" s="354">
        <v>250</v>
      </c>
      <c r="FW12" s="354">
        <v>230</v>
      </c>
      <c r="FX12" s="354">
        <v>34</v>
      </c>
      <c r="FY12" s="354">
        <v>17</v>
      </c>
      <c r="FZ12" s="354" t="s">
        <v>249</v>
      </c>
      <c r="GA12" s="577"/>
    </row>
    <row r="13" spans="2:183" ht="22.5">
      <c r="B13" s="355" t="str">
        <f>names!A1922</f>
        <v>Polimery
[polietylen, polipropylen]</v>
      </c>
      <c r="C13" s="356">
        <v>133</v>
      </c>
      <c r="D13" s="357" t="s">
        <v>249</v>
      </c>
      <c r="E13" s="357">
        <v>133</v>
      </c>
      <c r="F13" s="357" t="s">
        <v>249</v>
      </c>
      <c r="G13" s="357" t="s">
        <v>249</v>
      </c>
      <c r="H13" s="356">
        <v>133</v>
      </c>
      <c r="I13" s="357" t="s">
        <v>249</v>
      </c>
      <c r="J13" s="357">
        <v>133</v>
      </c>
      <c r="K13" s="357" t="s">
        <v>249</v>
      </c>
      <c r="L13" s="357" t="s">
        <v>249</v>
      </c>
      <c r="M13" s="356">
        <v>111</v>
      </c>
      <c r="N13" s="357" t="s">
        <v>249</v>
      </c>
      <c r="O13" s="357">
        <v>112</v>
      </c>
      <c r="P13" s="357" t="s">
        <v>249</v>
      </c>
      <c r="Q13" s="357" t="s">
        <v>249</v>
      </c>
      <c r="R13" s="356">
        <v>143</v>
      </c>
      <c r="S13" s="357" t="s">
        <v>249</v>
      </c>
      <c r="T13" s="357">
        <v>142</v>
      </c>
      <c r="U13" s="357" t="s">
        <v>249</v>
      </c>
      <c r="V13" s="357" t="s">
        <v>249</v>
      </c>
      <c r="W13" s="368">
        <f t="shared" si="4"/>
        <v>520</v>
      </c>
      <c r="X13" s="356" t="s">
        <v>249</v>
      </c>
      <c r="Y13" s="356">
        <f t="shared" si="4"/>
        <v>520</v>
      </c>
      <c r="Z13" s="356" t="s">
        <v>249</v>
      </c>
      <c r="AA13" s="356" t="s">
        <v>249</v>
      </c>
      <c r="AB13" s="359">
        <v>146</v>
      </c>
      <c r="AC13" s="359" t="s">
        <v>249</v>
      </c>
      <c r="AD13" s="359">
        <v>146</v>
      </c>
      <c r="AE13" s="359" t="s">
        <v>249</v>
      </c>
      <c r="AF13" s="359" t="s">
        <v>249</v>
      </c>
      <c r="AG13" s="359">
        <v>142</v>
      </c>
      <c r="AH13" s="359" t="s">
        <v>249</v>
      </c>
      <c r="AI13" s="359">
        <v>142</v>
      </c>
      <c r="AJ13" s="359" t="s">
        <v>249</v>
      </c>
      <c r="AK13" s="359" t="s">
        <v>249</v>
      </c>
      <c r="AL13" s="359">
        <v>153</v>
      </c>
      <c r="AM13" s="359" t="s">
        <v>249</v>
      </c>
      <c r="AN13" s="359">
        <v>153</v>
      </c>
      <c r="AO13" s="359" t="s">
        <v>249</v>
      </c>
      <c r="AP13" s="359" t="s">
        <v>249</v>
      </c>
      <c r="AQ13" s="359">
        <v>155</v>
      </c>
      <c r="AR13" s="359" t="s">
        <v>249</v>
      </c>
      <c r="AS13" s="359">
        <v>155</v>
      </c>
      <c r="AT13" s="359" t="s">
        <v>249</v>
      </c>
      <c r="AU13" s="359" t="s">
        <v>249</v>
      </c>
      <c r="AV13" s="365">
        <f t="shared" si="5"/>
        <v>596</v>
      </c>
      <c r="AW13" s="359" t="s">
        <v>249</v>
      </c>
      <c r="AX13" s="359">
        <f t="shared" si="5"/>
        <v>596</v>
      </c>
      <c r="AY13" s="359" t="s">
        <v>249</v>
      </c>
      <c r="AZ13" s="359" t="s">
        <v>249</v>
      </c>
      <c r="BA13" s="359">
        <v>158</v>
      </c>
      <c r="BB13" s="359" t="s">
        <v>249</v>
      </c>
      <c r="BC13" s="359">
        <v>158</v>
      </c>
      <c r="BD13" s="359" t="s">
        <v>249</v>
      </c>
      <c r="BE13" s="359" t="s">
        <v>249</v>
      </c>
      <c r="BF13" s="359">
        <v>142</v>
      </c>
      <c r="BG13" s="359" t="s">
        <v>249</v>
      </c>
      <c r="BH13" s="359">
        <v>142</v>
      </c>
      <c r="BI13" s="359" t="s">
        <v>249</v>
      </c>
      <c r="BJ13" s="359"/>
      <c r="BK13" s="359">
        <v>83</v>
      </c>
      <c r="BL13" s="359" t="s">
        <v>249</v>
      </c>
      <c r="BM13" s="359">
        <v>83</v>
      </c>
      <c r="BN13" s="359" t="s">
        <v>249</v>
      </c>
      <c r="BO13" s="359" t="s">
        <v>249</v>
      </c>
      <c r="BP13" s="359">
        <v>56</v>
      </c>
      <c r="BQ13" s="359" t="s">
        <v>249</v>
      </c>
      <c r="BR13" s="359">
        <v>56</v>
      </c>
      <c r="BS13" s="359" t="s">
        <v>249</v>
      </c>
      <c r="BT13" s="359" t="s">
        <v>249</v>
      </c>
      <c r="BU13" s="365">
        <f t="shared" si="6"/>
        <v>439</v>
      </c>
      <c r="BV13" s="359" t="s">
        <v>249</v>
      </c>
      <c r="BW13" s="359">
        <f t="shared" si="7"/>
        <v>439</v>
      </c>
      <c r="BX13" s="359" t="s">
        <v>249</v>
      </c>
      <c r="BY13" s="359" t="s">
        <v>249</v>
      </c>
      <c r="BZ13" s="359">
        <v>66</v>
      </c>
      <c r="CA13" s="359" t="s">
        <v>249</v>
      </c>
      <c r="CB13" s="359">
        <v>66</v>
      </c>
      <c r="CC13" s="359" t="s">
        <v>249</v>
      </c>
      <c r="CD13" s="359" t="s">
        <v>249</v>
      </c>
      <c r="CE13" s="359">
        <v>49</v>
      </c>
      <c r="CF13" s="359" t="s">
        <v>249</v>
      </c>
      <c r="CG13" s="359">
        <v>49</v>
      </c>
      <c r="CH13" s="359" t="s">
        <v>249</v>
      </c>
      <c r="CI13" s="359" t="s">
        <v>249</v>
      </c>
      <c r="CJ13" s="359">
        <v>39</v>
      </c>
      <c r="CK13" s="359" t="s">
        <v>249</v>
      </c>
      <c r="CL13" s="359">
        <v>39</v>
      </c>
      <c r="CM13" s="359" t="s">
        <v>249</v>
      </c>
      <c r="CN13" s="359" t="s">
        <v>249</v>
      </c>
      <c r="CO13" s="359">
        <v>129</v>
      </c>
      <c r="CP13" s="359" t="s">
        <v>249</v>
      </c>
      <c r="CQ13" s="359">
        <v>129</v>
      </c>
      <c r="CR13" s="359" t="s">
        <v>249</v>
      </c>
      <c r="CS13" s="359" t="s">
        <v>249</v>
      </c>
      <c r="CT13" s="365">
        <f t="shared" ref="CT13:CT18" si="9">BZ13+CE13+CJ13+CO13</f>
        <v>283</v>
      </c>
      <c r="CU13" s="359" t="s">
        <v>249</v>
      </c>
      <c r="CV13" s="359">
        <f>CB13+CG13+CL13+CQ13</f>
        <v>283</v>
      </c>
      <c r="CW13" s="359" t="s">
        <v>249</v>
      </c>
      <c r="CX13" s="359" t="s">
        <v>249</v>
      </c>
      <c r="CY13" s="359">
        <v>123</v>
      </c>
      <c r="CZ13" s="359" t="s">
        <v>249</v>
      </c>
      <c r="DA13" s="359">
        <v>123</v>
      </c>
      <c r="DB13" s="359" t="s">
        <v>249</v>
      </c>
      <c r="DC13" s="359" t="s">
        <v>249</v>
      </c>
      <c r="DD13" s="359">
        <v>145</v>
      </c>
      <c r="DE13" s="359" t="s">
        <v>249</v>
      </c>
      <c r="DF13" s="359">
        <v>145</v>
      </c>
      <c r="DG13" s="359" t="s">
        <v>249</v>
      </c>
      <c r="DH13" s="359" t="s">
        <v>249</v>
      </c>
      <c r="DI13" s="359">
        <v>143</v>
      </c>
      <c r="DJ13" s="359" t="s">
        <v>249</v>
      </c>
      <c r="DK13" s="359">
        <v>143</v>
      </c>
      <c r="DL13" s="359" t="s">
        <v>249</v>
      </c>
      <c r="DM13" s="359" t="s">
        <v>249</v>
      </c>
      <c r="DN13" s="359">
        <v>154</v>
      </c>
      <c r="DO13" s="359" t="s">
        <v>249</v>
      </c>
      <c r="DP13" s="359">
        <v>154</v>
      </c>
      <c r="DQ13" s="359" t="s">
        <v>249</v>
      </c>
      <c r="DR13" s="359" t="s">
        <v>249</v>
      </c>
      <c r="DS13" s="365">
        <f t="shared" ref="DS13:DS18" si="10">CY13+DD13+DI13+DN13</f>
        <v>565</v>
      </c>
      <c r="DT13" s="359" t="s">
        <v>249</v>
      </c>
      <c r="DU13" s="359">
        <f>DA13+DF13+DK13+DP13</f>
        <v>565</v>
      </c>
      <c r="DV13" s="359" t="s">
        <v>249</v>
      </c>
      <c r="DW13" s="359" t="s">
        <v>249</v>
      </c>
      <c r="DX13" s="359">
        <v>143</v>
      </c>
      <c r="DY13" s="359" t="s">
        <v>249</v>
      </c>
      <c r="DZ13" s="359">
        <v>143</v>
      </c>
      <c r="EA13" s="359" t="s">
        <v>249</v>
      </c>
      <c r="EB13" s="359" t="s">
        <v>249</v>
      </c>
      <c r="EC13" s="359">
        <v>142</v>
      </c>
      <c r="ED13" s="359" t="s">
        <v>249</v>
      </c>
      <c r="EE13" s="359">
        <v>142</v>
      </c>
      <c r="EF13" s="359" t="s">
        <v>249</v>
      </c>
      <c r="EG13" s="359" t="s">
        <v>249</v>
      </c>
      <c r="EH13" s="359">
        <v>111</v>
      </c>
      <c r="EI13" s="359" t="s">
        <v>249</v>
      </c>
      <c r="EJ13" s="359">
        <v>111</v>
      </c>
      <c r="EK13" s="359" t="s">
        <v>249</v>
      </c>
      <c r="EL13" s="359" t="s">
        <v>249</v>
      </c>
      <c r="EM13" s="359">
        <v>136</v>
      </c>
      <c r="EN13" s="359" t="s">
        <v>249</v>
      </c>
      <c r="EO13" s="359">
        <v>136</v>
      </c>
      <c r="EP13" s="359" t="s">
        <v>249</v>
      </c>
      <c r="EQ13" s="359" t="s">
        <v>249</v>
      </c>
      <c r="ER13" s="365">
        <f t="shared" ref="ER13:ER18" si="11">DX13+EC13+EH13+EM13</f>
        <v>532</v>
      </c>
      <c r="ES13" s="359" t="s">
        <v>249</v>
      </c>
      <c r="ET13" s="359">
        <f t="shared" si="2"/>
        <v>532</v>
      </c>
      <c r="EU13" s="359" t="s">
        <v>249</v>
      </c>
      <c r="EV13" s="359" t="s">
        <v>249</v>
      </c>
      <c r="EW13" s="359">
        <v>146</v>
      </c>
      <c r="EX13" s="359" t="s">
        <v>249</v>
      </c>
      <c r="EY13" s="359">
        <v>146</v>
      </c>
      <c r="EZ13" s="359" t="s">
        <v>249</v>
      </c>
      <c r="FA13" s="359" t="s">
        <v>249</v>
      </c>
      <c r="FB13" s="359">
        <v>139</v>
      </c>
      <c r="FC13" s="359" t="s">
        <v>249</v>
      </c>
      <c r="FD13" s="359">
        <v>139</v>
      </c>
      <c r="FE13" s="359" t="s">
        <v>249</v>
      </c>
      <c r="FF13" s="359" t="s">
        <v>249</v>
      </c>
      <c r="FG13" s="359">
        <v>135</v>
      </c>
      <c r="FH13" s="359" t="s">
        <v>249</v>
      </c>
      <c r="FI13" s="359">
        <v>135</v>
      </c>
      <c r="FJ13" s="359" t="s">
        <v>249</v>
      </c>
      <c r="FK13" s="359" t="s">
        <v>249</v>
      </c>
      <c r="FL13" s="359">
        <v>129</v>
      </c>
      <c r="FM13" s="359" t="s">
        <v>249</v>
      </c>
      <c r="FN13" s="359">
        <v>129</v>
      </c>
      <c r="FO13" s="359" t="s">
        <v>249</v>
      </c>
      <c r="FP13" s="359" t="s">
        <v>249</v>
      </c>
      <c r="FQ13" s="365">
        <f t="shared" si="8"/>
        <v>549</v>
      </c>
      <c r="FR13" s="359" t="s">
        <v>249</v>
      </c>
      <c r="FS13" s="359">
        <f t="shared" si="3"/>
        <v>549</v>
      </c>
      <c r="FT13" s="359" t="s">
        <v>249</v>
      </c>
      <c r="FU13" s="359" t="s">
        <v>249</v>
      </c>
      <c r="FV13" s="359">
        <v>115</v>
      </c>
      <c r="FW13" s="359" t="s">
        <v>249</v>
      </c>
      <c r="FX13" s="359">
        <v>115</v>
      </c>
      <c r="FY13" s="359" t="s">
        <v>249</v>
      </c>
      <c r="FZ13" s="359" t="s">
        <v>249</v>
      </c>
      <c r="GA13" s="577"/>
    </row>
    <row r="14" spans="2:183" ht="33.75">
      <c r="B14" s="355" t="str">
        <f>names!A1923</f>
        <v>Aromaty
[benzen, toluen, paraksylen, ortoksylen]</v>
      </c>
      <c r="C14" s="356">
        <v>102</v>
      </c>
      <c r="D14" s="357">
        <v>49</v>
      </c>
      <c r="E14" s="357">
        <v>52</v>
      </c>
      <c r="F14" s="357" t="s">
        <v>249</v>
      </c>
      <c r="G14" s="357" t="s">
        <v>249</v>
      </c>
      <c r="H14" s="356">
        <v>92</v>
      </c>
      <c r="I14" s="357">
        <v>45</v>
      </c>
      <c r="J14" s="357">
        <v>45</v>
      </c>
      <c r="K14" s="357" t="s">
        <v>249</v>
      </c>
      <c r="L14" s="357" t="s">
        <v>249</v>
      </c>
      <c r="M14" s="356">
        <v>87</v>
      </c>
      <c r="N14" s="357">
        <v>50</v>
      </c>
      <c r="O14" s="357">
        <v>36</v>
      </c>
      <c r="P14" s="357" t="s">
        <v>249</v>
      </c>
      <c r="Q14" s="357" t="s">
        <v>249</v>
      </c>
      <c r="R14" s="356">
        <v>105</v>
      </c>
      <c r="S14" s="357">
        <v>50</v>
      </c>
      <c r="T14" s="357">
        <v>55</v>
      </c>
      <c r="U14" s="357" t="s">
        <v>249</v>
      </c>
      <c r="V14" s="357" t="s">
        <v>249</v>
      </c>
      <c r="W14" s="368">
        <f t="shared" si="4"/>
        <v>386</v>
      </c>
      <c r="X14" s="356">
        <f t="shared" si="4"/>
        <v>194</v>
      </c>
      <c r="Y14" s="356">
        <f t="shared" si="4"/>
        <v>188</v>
      </c>
      <c r="Z14" s="356" t="s">
        <v>249</v>
      </c>
      <c r="AA14" s="356" t="s">
        <v>249</v>
      </c>
      <c r="AB14" s="359">
        <v>107</v>
      </c>
      <c r="AC14" s="359">
        <v>51</v>
      </c>
      <c r="AD14" s="359">
        <v>56</v>
      </c>
      <c r="AE14" s="359" t="s">
        <v>249</v>
      </c>
      <c r="AF14" s="359" t="s">
        <v>249</v>
      </c>
      <c r="AG14" s="359">
        <v>95</v>
      </c>
      <c r="AH14" s="359">
        <v>38</v>
      </c>
      <c r="AI14" s="359">
        <v>57</v>
      </c>
      <c r="AJ14" s="359" t="s">
        <v>249</v>
      </c>
      <c r="AK14" s="359" t="s">
        <v>249</v>
      </c>
      <c r="AL14" s="359">
        <v>107</v>
      </c>
      <c r="AM14" s="359">
        <v>49</v>
      </c>
      <c r="AN14" s="359">
        <v>58</v>
      </c>
      <c r="AO14" s="359" t="s">
        <v>249</v>
      </c>
      <c r="AP14" s="359" t="s">
        <v>249</v>
      </c>
      <c r="AQ14" s="359">
        <v>108</v>
      </c>
      <c r="AR14" s="359">
        <v>49</v>
      </c>
      <c r="AS14" s="359">
        <v>59</v>
      </c>
      <c r="AT14" s="359" t="s">
        <v>249</v>
      </c>
      <c r="AU14" s="359" t="s">
        <v>249</v>
      </c>
      <c r="AV14" s="365">
        <f t="shared" si="5"/>
        <v>417</v>
      </c>
      <c r="AW14" s="359">
        <f t="shared" si="5"/>
        <v>187</v>
      </c>
      <c r="AX14" s="359">
        <f t="shared" si="5"/>
        <v>230</v>
      </c>
      <c r="AY14" s="359" t="s">
        <v>249</v>
      </c>
      <c r="AZ14" s="359" t="s">
        <v>249</v>
      </c>
      <c r="BA14" s="359">
        <v>122</v>
      </c>
      <c r="BB14" s="359">
        <v>62</v>
      </c>
      <c r="BC14" s="359">
        <v>60</v>
      </c>
      <c r="BD14" s="359" t="s">
        <v>249</v>
      </c>
      <c r="BE14" s="359" t="s">
        <v>249</v>
      </c>
      <c r="BF14" s="359">
        <v>114</v>
      </c>
      <c r="BG14" s="359">
        <v>57</v>
      </c>
      <c r="BH14" s="359">
        <v>57</v>
      </c>
      <c r="BI14" s="359" t="s">
        <v>249</v>
      </c>
      <c r="BJ14" s="359"/>
      <c r="BK14" s="359">
        <v>73</v>
      </c>
      <c r="BL14" s="359">
        <v>49</v>
      </c>
      <c r="BM14" s="359">
        <v>25</v>
      </c>
      <c r="BN14" s="359" t="s">
        <v>249</v>
      </c>
      <c r="BO14" s="359" t="s">
        <v>249</v>
      </c>
      <c r="BP14" s="359">
        <v>44</v>
      </c>
      <c r="BQ14" s="359">
        <v>44</v>
      </c>
      <c r="BR14" s="359">
        <v>0</v>
      </c>
      <c r="BS14" s="359" t="s">
        <v>249</v>
      </c>
      <c r="BT14" s="359" t="s">
        <v>249</v>
      </c>
      <c r="BU14" s="365">
        <f t="shared" si="6"/>
        <v>353</v>
      </c>
      <c r="BV14" s="359">
        <f>BB14+BG14+BL14+BQ14</f>
        <v>212</v>
      </c>
      <c r="BW14" s="359">
        <f t="shared" si="7"/>
        <v>142</v>
      </c>
      <c r="BX14" s="359" t="s">
        <v>249</v>
      </c>
      <c r="BY14" s="359" t="s">
        <v>249</v>
      </c>
      <c r="BZ14" s="359">
        <v>59</v>
      </c>
      <c r="CA14" s="359">
        <v>59</v>
      </c>
      <c r="CB14" s="359" t="s">
        <v>249</v>
      </c>
      <c r="CC14" s="359" t="s">
        <v>249</v>
      </c>
      <c r="CD14" s="359" t="s">
        <v>249</v>
      </c>
      <c r="CE14" s="359">
        <v>59</v>
      </c>
      <c r="CF14" s="359">
        <v>59</v>
      </c>
      <c r="CG14" s="359" t="s">
        <v>249</v>
      </c>
      <c r="CH14" s="359" t="s">
        <v>249</v>
      </c>
      <c r="CI14" s="359" t="s">
        <v>249</v>
      </c>
      <c r="CJ14" s="359">
        <v>53</v>
      </c>
      <c r="CK14" s="359">
        <v>53</v>
      </c>
      <c r="CL14" s="359" t="s">
        <v>249</v>
      </c>
      <c r="CM14" s="359" t="s">
        <v>249</v>
      </c>
      <c r="CN14" s="359" t="s">
        <v>249</v>
      </c>
      <c r="CO14" s="359">
        <v>78</v>
      </c>
      <c r="CP14" s="359">
        <v>42</v>
      </c>
      <c r="CQ14" s="359">
        <v>36</v>
      </c>
      <c r="CR14" s="359" t="s">
        <v>249</v>
      </c>
      <c r="CS14" s="359" t="s">
        <v>249</v>
      </c>
      <c r="CT14" s="365">
        <f t="shared" si="9"/>
        <v>249</v>
      </c>
      <c r="CU14" s="359">
        <f>CA14+CF14+CK14+CP14</f>
        <v>213</v>
      </c>
      <c r="CV14" s="359">
        <f>CQ14</f>
        <v>36</v>
      </c>
      <c r="CW14" s="359" t="s">
        <v>249</v>
      </c>
      <c r="CX14" s="359" t="s">
        <v>249</v>
      </c>
      <c r="CY14" s="359">
        <v>78</v>
      </c>
      <c r="CZ14" s="359">
        <v>46</v>
      </c>
      <c r="DA14" s="359">
        <v>32</v>
      </c>
      <c r="DB14" s="359" t="s">
        <v>249</v>
      </c>
      <c r="DC14" s="359" t="s">
        <v>249</v>
      </c>
      <c r="DD14" s="359">
        <v>71</v>
      </c>
      <c r="DE14" s="359">
        <v>29</v>
      </c>
      <c r="DF14" s="359">
        <v>44</v>
      </c>
      <c r="DG14" s="359" t="s">
        <v>249</v>
      </c>
      <c r="DH14" s="359" t="s">
        <v>249</v>
      </c>
      <c r="DI14" s="359">
        <v>111</v>
      </c>
      <c r="DJ14" s="359">
        <v>56</v>
      </c>
      <c r="DK14" s="359">
        <v>56</v>
      </c>
      <c r="DL14" s="359" t="s">
        <v>249</v>
      </c>
      <c r="DM14" s="359" t="s">
        <v>249</v>
      </c>
      <c r="DN14" s="359">
        <v>104</v>
      </c>
      <c r="DO14" s="359">
        <v>51</v>
      </c>
      <c r="DP14" s="359">
        <v>52</v>
      </c>
      <c r="DQ14" s="359" t="s">
        <v>249</v>
      </c>
      <c r="DR14" s="359" t="s">
        <v>249</v>
      </c>
      <c r="DS14" s="365">
        <f t="shared" si="10"/>
        <v>364</v>
      </c>
      <c r="DT14" s="359">
        <f>CZ14+DE14+DJ14+DO14</f>
        <v>182</v>
      </c>
      <c r="DU14" s="359">
        <f>DA14+DF14+DK14+DP14</f>
        <v>184</v>
      </c>
      <c r="DV14" s="359" t="s">
        <v>249</v>
      </c>
      <c r="DW14" s="359" t="s">
        <v>249</v>
      </c>
      <c r="DX14" s="359">
        <v>108</v>
      </c>
      <c r="DY14" s="359">
        <v>50</v>
      </c>
      <c r="DZ14" s="359">
        <v>60</v>
      </c>
      <c r="EA14" s="359" t="s">
        <v>249</v>
      </c>
      <c r="EB14" s="359" t="s">
        <v>249</v>
      </c>
      <c r="EC14" s="359">
        <v>97</v>
      </c>
      <c r="ED14" s="359">
        <v>43</v>
      </c>
      <c r="EE14" s="359">
        <v>54</v>
      </c>
      <c r="EF14" s="359" t="s">
        <v>249</v>
      </c>
      <c r="EG14" s="359" t="s">
        <v>249</v>
      </c>
      <c r="EH14" s="359">
        <v>90</v>
      </c>
      <c r="EI14" s="359">
        <v>53</v>
      </c>
      <c r="EJ14" s="359">
        <v>39</v>
      </c>
      <c r="EK14" s="359" t="s">
        <v>249</v>
      </c>
      <c r="EL14" s="359" t="s">
        <v>249</v>
      </c>
      <c r="EM14" s="359">
        <v>75</v>
      </c>
      <c r="EN14" s="359">
        <v>23</v>
      </c>
      <c r="EO14" s="359">
        <v>52</v>
      </c>
      <c r="EP14" s="359" t="s">
        <v>249</v>
      </c>
      <c r="EQ14" s="359" t="s">
        <v>249</v>
      </c>
      <c r="ER14" s="365">
        <f t="shared" si="11"/>
        <v>370</v>
      </c>
      <c r="ES14" s="359">
        <f>DY14+ED14+EI14+EN14</f>
        <v>169</v>
      </c>
      <c r="ET14" s="359">
        <f t="shared" si="2"/>
        <v>205</v>
      </c>
      <c r="EU14" s="359" t="s">
        <v>249</v>
      </c>
      <c r="EV14" s="359" t="s">
        <v>249</v>
      </c>
      <c r="EW14" s="359">
        <v>112</v>
      </c>
      <c r="EX14" s="359">
        <v>58</v>
      </c>
      <c r="EY14" s="359">
        <v>54</v>
      </c>
      <c r="EZ14" s="359" t="s">
        <v>249</v>
      </c>
      <c r="FA14" s="359" t="s">
        <v>249</v>
      </c>
      <c r="FB14" s="359">
        <v>116</v>
      </c>
      <c r="FC14" s="359">
        <v>65</v>
      </c>
      <c r="FD14" s="359">
        <v>51</v>
      </c>
      <c r="FE14" s="359" t="s">
        <v>249</v>
      </c>
      <c r="FF14" s="359" t="s">
        <v>249</v>
      </c>
      <c r="FG14" s="359">
        <v>101</v>
      </c>
      <c r="FH14" s="359">
        <v>48</v>
      </c>
      <c r="FI14" s="359">
        <v>53</v>
      </c>
      <c r="FJ14" s="359" t="s">
        <v>249</v>
      </c>
      <c r="FK14" s="359" t="s">
        <v>249</v>
      </c>
      <c r="FL14" s="359">
        <v>95</v>
      </c>
      <c r="FM14" s="359">
        <v>55</v>
      </c>
      <c r="FN14" s="359">
        <v>40</v>
      </c>
      <c r="FO14" s="359" t="s">
        <v>249</v>
      </c>
      <c r="FP14" s="359" t="s">
        <v>249</v>
      </c>
      <c r="FQ14" s="365">
        <f t="shared" si="8"/>
        <v>424</v>
      </c>
      <c r="FR14" s="359">
        <f t="shared" si="3"/>
        <v>226</v>
      </c>
      <c r="FS14" s="359">
        <f t="shared" si="3"/>
        <v>198</v>
      </c>
      <c r="FT14" s="359" t="s">
        <v>249</v>
      </c>
      <c r="FU14" s="359" t="s">
        <v>249</v>
      </c>
      <c r="FV14" s="359">
        <v>102</v>
      </c>
      <c r="FW14" s="359">
        <v>50</v>
      </c>
      <c r="FX14" s="359">
        <v>52</v>
      </c>
      <c r="FY14" s="359" t="s">
        <v>249</v>
      </c>
      <c r="FZ14" s="359" t="s">
        <v>249</v>
      </c>
      <c r="GA14" s="577"/>
    </row>
    <row r="15" spans="2:183" ht="33.75">
      <c r="B15" s="355" t="str">
        <f>names!A1924</f>
        <v>Nawozy sztuczne
[CANWIL, siarczan amonu, saletra amonowa, pozostałe nawozy]</v>
      </c>
      <c r="C15" s="356">
        <v>293</v>
      </c>
      <c r="D15" s="357" t="s">
        <v>249</v>
      </c>
      <c r="E15" s="357">
        <v>1</v>
      </c>
      <c r="F15" s="357" t="s">
        <v>249</v>
      </c>
      <c r="G15" s="357">
        <v>292</v>
      </c>
      <c r="H15" s="356">
        <v>259</v>
      </c>
      <c r="I15" s="357" t="s">
        <v>249</v>
      </c>
      <c r="J15" s="357"/>
      <c r="K15" s="357" t="s">
        <v>249</v>
      </c>
      <c r="L15" s="357">
        <v>259</v>
      </c>
      <c r="M15" s="356">
        <v>170</v>
      </c>
      <c r="N15" s="357" t="s">
        <v>249</v>
      </c>
      <c r="O15" s="357"/>
      <c r="P15" s="357" t="s">
        <v>249</v>
      </c>
      <c r="Q15" s="357">
        <v>170</v>
      </c>
      <c r="R15" s="356">
        <v>306</v>
      </c>
      <c r="S15" s="357" t="s">
        <v>249</v>
      </c>
      <c r="T15" s="357">
        <v>0</v>
      </c>
      <c r="U15" s="357" t="s">
        <v>249</v>
      </c>
      <c r="V15" s="357">
        <v>306</v>
      </c>
      <c r="W15" s="368">
        <f t="shared" si="4"/>
        <v>1028</v>
      </c>
      <c r="X15" s="356" t="s">
        <v>249</v>
      </c>
      <c r="Y15" s="356" t="s">
        <v>249</v>
      </c>
      <c r="Z15" s="356" t="s">
        <v>249</v>
      </c>
      <c r="AA15" s="356">
        <f>G15+L15+Q15+V15</f>
        <v>1027</v>
      </c>
      <c r="AB15" s="359">
        <v>313</v>
      </c>
      <c r="AC15" s="359" t="s">
        <v>249</v>
      </c>
      <c r="AD15" s="359" t="s">
        <v>249</v>
      </c>
      <c r="AE15" s="359" t="s">
        <v>249</v>
      </c>
      <c r="AF15" s="359">
        <v>313</v>
      </c>
      <c r="AG15" s="359">
        <v>243</v>
      </c>
      <c r="AH15" s="359" t="s">
        <v>249</v>
      </c>
      <c r="AI15" s="359" t="s">
        <v>249</v>
      </c>
      <c r="AJ15" s="359" t="s">
        <v>249</v>
      </c>
      <c r="AK15" s="359">
        <v>243</v>
      </c>
      <c r="AL15" s="359">
        <v>295</v>
      </c>
      <c r="AM15" s="359" t="s">
        <v>249</v>
      </c>
      <c r="AN15" s="359" t="s">
        <v>249</v>
      </c>
      <c r="AO15" s="359" t="s">
        <v>249</v>
      </c>
      <c r="AP15" s="359">
        <v>295</v>
      </c>
      <c r="AQ15" s="359">
        <v>306</v>
      </c>
      <c r="AR15" s="359" t="s">
        <v>249</v>
      </c>
      <c r="AS15" s="359" t="s">
        <v>249</v>
      </c>
      <c r="AT15" s="359" t="s">
        <v>249</v>
      </c>
      <c r="AU15" s="359">
        <v>306</v>
      </c>
      <c r="AV15" s="365">
        <f t="shared" si="5"/>
        <v>1157</v>
      </c>
      <c r="AW15" s="359" t="s">
        <v>249</v>
      </c>
      <c r="AX15" s="359" t="s">
        <v>249</v>
      </c>
      <c r="AY15" s="359" t="s">
        <v>249</v>
      </c>
      <c r="AZ15" s="359">
        <f t="shared" si="5"/>
        <v>1157</v>
      </c>
      <c r="BA15" s="359">
        <v>287</v>
      </c>
      <c r="BB15" s="359" t="s">
        <v>249</v>
      </c>
      <c r="BC15" s="359" t="s">
        <v>249</v>
      </c>
      <c r="BD15" s="359" t="s">
        <v>249</v>
      </c>
      <c r="BE15" s="359">
        <v>287</v>
      </c>
      <c r="BF15" s="359">
        <v>309</v>
      </c>
      <c r="BG15" s="359" t="s">
        <v>249</v>
      </c>
      <c r="BH15" s="359" t="s">
        <v>249</v>
      </c>
      <c r="BI15" s="359" t="s">
        <v>249</v>
      </c>
      <c r="BJ15" s="359">
        <v>309</v>
      </c>
      <c r="BK15" s="359">
        <v>251</v>
      </c>
      <c r="BL15" s="359" t="s">
        <v>249</v>
      </c>
      <c r="BM15" s="359" t="s">
        <v>249</v>
      </c>
      <c r="BN15" s="359" t="s">
        <v>249</v>
      </c>
      <c r="BO15" s="359">
        <v>251</v>
      </c>
      <c r="BP15" s="359">
        <v>300</v>
      </c>
      <c r="BQ15" s="359" t="s">
        <v>249</v>
      </c>
      <c r="BR15" s="359" t="s">
        <v>249</v>
      </c>
      <c r="BS15" s="359" t="s">
        <v>249</v>
      </c>
      <c r="BT15" s="359">
        <v>300</v>
      </c>
      <c r="BU15" s="365">
        <f t="shared" si="6"/>
        <v>1147</v>
      </c>
      <c r="BV15" s="359" t="s">
        <v>249</v>
      </c>
      <c r="BW15" s="359" t="s">
        <v>249</v>
      </c>
      <c r="BX15" s="359" t="s">
        <v>249</v>
      </c>
      <c r="BY15" s="359">
        <f>BE15+BJ15+BO15+BT15</f>
        <v>1147</v>
      </c>
      <c r="BZ15" s="359">
        <v>304</v>
      </c>
      <c r="CA15" s="359" t="s">
        <v>249</v>
      </c>
      <c r="CB15" s="359" t="s">
        <v>249</v>
      </c>
      <c r="CC15" s="359" t="s">
        <v>249</v>
      </c>
      <c r="CD15" s="359">
        <v>304</v>
      </c>
      <c r="CE15" s="359">
        <v>320</v>
      </c>
      <c r="CF15" s="359" t="s">
        <v>249</v>
      </c>
      <c r="CG15" s="359">
        <v>98</v>
      </c>
      <c r="CH15" s="359" t="s">
        <v>249</v>
      </c>
      <c r="CI15" s="359">
        <v>222</v>
      </c>
      <c r="CJ15" s="359">
        <v>217</v>
      </c>
      <c r="CK15" s="359" t="s">
        <v>249</v>
      </c>
      <c r="CL15" s="359">
        <v>29</v>
      </c>
      <c r="CM15" s="359" t="s">
        <v>249</v>
      </c>
      <c r="CN15" s="359">
        <v>187</v>
      </c>
      <c r="CO15" s="359">
        <v>317</v>
      </c>
      <c r="CP15" s="359" t="s">
        <v>249</v>
      </c>
      <c r="CQ15" s="359">
        <v>47</v>
      </c>
      <c r="CR15" s="359" t="s">
        <v>249</v>
      </c>
      <c r="CS15" s="359">
        <v>270</v>
      </c>
      <c r="CT15" s="365">
        <f t="shared" si="9"/>
        <v>1158</v>
      </c>
      <c r="CU15" s="359" t="s">
        <v>249</v>
      </c>
      <c r="CV15" s="359">
        <f>CG15+CL15+CQ15</f>
        <v>174</v>
      </c>
      <c r="CW15" s="359" t="s">
        <v>249</v>
      </c>
      <c r="CX15" s="359">
        <f>CD15+CI15+CN15+CS15</f>
        <v>983</v>
      </c>
      <c r="CY15" s="359">
        <v>268</v>
      </c>
      <c r="CZ15" s="359" t="s">
        <v>249</v>
      </c>
      <c r="DA15" s="359">
        <v>45</v>
      </c>
      <c r="DB15" s="359" t="s">
        <v>249</v>
      </c>
      <c r="DC15" s="359">
        <v>223</v>
      </c>
      <c r="DD15" s="359">
        <v>296</v>
      </c>
      <c r="DE15" s="359" t="s">
        <v>249</v>
      </c>
      <c r="DF15" s="359">
        <v>47</v>
      </c>
      <c r="DG15" s="359" t="s">
        <v>249</v>
      </c>
      <c r="DH15" s="359">
        <v>249</v>
      </c>
      <c r="DI15" s="359">
        <v>284</v>
      </c>
      <c r="DJ15" s="359" t="s">
        <v>249</v>
      </c>
      <c r="DK15" s="359">
        <v>45</v>
      </c>
      <c r="DL15" s="359" t="s">
        <v>249</v>
      </c>
      <c r="DM15" s="359">
        <v>239</v>
      </c>
      <c r="DN15" s="359">
        <v>240</v>
      </c>
      <c r="DO15" s="359" t="s">
        <v>249</v>
      </c>
      <c r="DP15" s="359">
        <v>47</v>
      </c>
      <c r="DQ15" s="359" t="s">
        <v>249</v>
      </c>
      <c r="DR15" s="359">
        <v>193</v>
      </c>
      <c r="DS15" s="365">
        <f t="shared" si="10"/>
        <v>1088</v>
      </c>
      <c r="DT15" s="359" t="s">
        <v>249</v>
      </c>
      <c r="DU15" s="359">
        <f>DF15+DK15+DP15</f>
        <v>139</v>
      </c>
      <c r="DV15" s="359" t="s">
        <v>249</v>
      </c>
      <c r="DW15" s="359">
        <f>DC15+DH15+DM15+DR15</f>
        <v>904</v>
      </c>
      <c r="DX15" s="359">
        <v>308</v>
      </c>
      <c r="DY15" s="359" t="s">
        <v>249</v>
      </c>
      <c r="DZ15" s="359">
        <v>53</v>
      </c>
      <c r="EA15" s="359" t="s">
        <v>249</v>
      </c>
      <c r="EB15" s="359">
        <v>256</v>
      </c>
      <c r="EC15" s="359">
        <v>244</v>
      </c>
      <c r="ED15" s="359" t="s">
        <v>249</v>
      </c>
      <c r="EE15" s="359">
        <v>56</v>
      </c>
      <c r="EF15" s="359" t="s">
        <v>249</v>
      </c>
      <c r="EG15" s="359">
        <v>188</v>
      </c>
      <c r="EH15" s="359">
        <v>295</v>
      </c>
      <c r="EI15" s="359" t="s">
        <v>249</v>
      </c>
      <c r="EJ15" s="359">
        <v>38</v>
      </c>
      <c r="EK15" s="359" t="s">
        <v>249</v>
      </c>
      <c r="EL15" s="359">
        <v>257</v>
      </c>
      <c r="EM15" s="359">
        <v>227</v>
      </c>
      <c r="EN15" s="359" t="s">
        <v>249</v>
      </c>
      <c r="EO15" s="359">
        <v>49</v>
      </c>
      <c r="EP15" s="359" t="s">
        <v>249</v>
      </c>
      <c r="EQ15" s="359">
        <v>178</v>
      </c>
      <c r="ER15" s="365">
        <f t="shared" si="11"/>
        <v>1074</v>
      </c>
      <c r="ES15" s="359" t="s">
        <v>249</v>
      </c>
      <c r="ET15" s="359">
        <f t="shared" si="2"/>
        <v>196</v>
      </c>
      <c r="EU15" s="359" t="s">
        <v>249</v>
      </c>
      <c r="EV15" s="359">
        <f>EB15+EG15+EL15+EQ15</f>
        <v>879</v>
      </c>
      <c r="EW15" s="359">
        <v>297</v>
      </c>
      <c r="EX15" s="359" t="s">
        <v>249</v>
      </c>
      <c r="EY15" s="359">
        <v>50</v>
      </c>
      <c r="EZ15" s="359" t="s">
        <v>249</v>
      </c>
      <c r="FA15" s="359">
        <v>247</v>
      </c>
      <c r="FB15" s="359">
        <v>205</v>
      </c>
      <c r="FC15" s="359" t="s">
        <v>249</v>
      </c>
      <c r="FD15" s="359">
        <v>38</v>
      </c>
      <c r="FE15" s="359" t="s">
        <v>249</v>
      </c>
      <c r="FF15" s="359">
        <v>167</v>
      </c>
      <c r="FG15" s="359">
        <v>267</v>
      </c>
      <c r="FH15" s="359" t="s">
        <v>249</v>
      </c>
      <c r="FI15" s="359">
        <v>44</v>
      </c>
      <c r="FJ15" s="359" t="s">
        <v>249</v>
      </c>
      <c r="FK15" s="359">
        <v>223</v>
      </c>
      <c r="FL15" s="359">
        <v>290</v>
      </c>
      <c r="FM15" s="359" t="s">
        <v>249</v>
      </c>
      <c r="FN15" s="359">
        <v>41</v>
      </c>
      <c r="FO15" s="359" t="s">
        <v>249</v>
      </c>
      <c r="FP15" s="359">
        <v>250</v>
      </c>
      <c r="FQ15" s="365">
        <f t="shared" si="8"/>
        <v>1059</v>
      </c>
      <c r="FR15" s="359" t="s">
        <v>249</v>
      </c>
      <c r="FS15" s="359">
        <f t="shared" si="3"/>
        <v>173</v>
      </c>
      <c r="FT15" s="359" t="s">
        <v>249</v>
      </c>
      <c r="FU15" s="359">
        <f t="shared" si="3"/>
        <v>887</v>
      </c>
      <c r="FV15" s="359">
        <v>286</v>
      </c>
      <c r="FW15" s="359" t="s">
        <v>249</v>
      </c>
      <c r="FX15" s="359">
        <v>49</v>
      </c>
      <c r="FY15" s="359" t="s">
        <v>249</v>
      </c>
      <c r="FZ15" s="359">
        <v>238</v>
      </c>
      <c r="GA15" s="577"/>
    </row>
    <row r="16" spans="2:183" ht="22.5">
      <c r="B16" s="355" t="str">
        <f>names!A1925</f>
        <v>Tworzywa sztuczne
[PCW, przetwórstwo PCW]</v>
      </c>
      <c r="C16" s="356">
        <v>107</v>
      </c>
      <c r="D16" s="357" t="s">
        <v>249</v>
      </c>
      <c r="E16" s="357">
        <v>0</v>
      </c>
      <c r="F16" s="357" t="s">
        <v>249</v>
      </c>
      <c r="G16" s="357">
        <v>110</v>
      </c>
      <c r="H16" s="356">
        <v>102</v>
      </c>
      <c r="I16" s="357" t="s">
        <v>249</v>
      </c>
      <c r="J16" s="357"/>
      <c r="K16" s="357" t="s">
        <v>249</v>
      </c>
      <c r="L16" s="357">
        <v>105</v>
      </c>
      <c r="M16" s="356">
        <v>105</v>
      </c>
      <c r="N16" s="357" t="s">
        <v>249</v>
      </c>
      <c r="O16" s="357"/>
      <c r="P16" s="357" t="s">
        <v>249</v>
      </c>
      <c r="Q16" s="357">
        <v>108</v>
      </c>
      <c r="R16" s="356">
        <v>110</v>
      </c>
      <c r="S16" s="357" t="s">
        <v>249</v>
      </c>
      <c r="T16" s="357">
        <v>0</v>
      </c>
      <c r="U16" s="357" t="s">
        <v>249</v>
      </c>
      <c r="V16" s="357">
        <v>113</v>
      </c>
      <c r="W16" s="368">
        <f t="shared" si="4"/>
        <v>424</v>
      </c>
      <c r="X16" s="356" t="s">
        <v>249</v>
      </c>
      <c r="Y16" s="356" t="s">
        <v>249</v>
      </c>
      <c r="Z16" s="356" t="s">
        <v>249</v>
      </c>
      <c r="AA16" s="356">
        <f>G16+L16+Q16+V16</f>
        <v>436</v>
      </c>
      <c r="AB16" s="359">
        <v>118</v>
      </c>
      <c r="AC16" s="359" t="s">
        <v>249</v>
      </c>
      <c r="AD16" s="359" t="s">
        <v>249</v>
      </c>
      <c r="AE16" s="359" t="s">
        <v>249</v>
      </c>
      <c r="AF16" s="359">
        <v>121</v>
      </c>
      <c r="AG16" s="359">
        <v>100</v>
      </c>
      <c r="AH16" s="359" t="s">
        <v>249</v>
      </c>
      <c r="AI16" s="359" t="s">
        <v>249</v>
      </c>
      <c r="AJ16" s="359" t="s">
        <v>249</v>
      </c>
      <c r="AK16" s="359">
        <v>104</v>
      </c>
      <c r="AL16" s="359">
        <v>106</v>
      </c>
      <c r="AM16" s="359" t="s">
        <v>249</v>
      </c>
      <c r="AN16" s="359" t="s">
        <v>249</v>
      </c>
      <c r="AO16" s="359" t="s">
        <v>249</v>
      </c>
      <c r="AP16" s="359">
        <v>109</v>
      </c>
      <c r="AQ16" s="359">
        <v>100</v>
      </c>
      <c r="AR16" s="359" t="s">
        <v>249</v>
      </c>
      <c r="AS16" s="359" t="s">
        <v>249</v>
      </c>
      <c r="AT16" s="359" t="s">
        <v>249</v>
      </c>
      <c r="AU16" s="359">
        <v>103</v>
      </c>
      <c r="AV16" s="365">
        <f t="shared" si="5"/>
        <v>424</v>
      </c>
      <c r="AW16" s="359" t="s">
        <v>249</v>
      </c>
      <c r="AX16" s="359" t="s">
        <v>249</v>
      </c>
      <c r="AY16" s="359" t="s">
        <v>249</v>
      </c>
      <c r="AZ16" s="359">
        <f t="shared" si="5"/>
        <v>437</v>
      </c>
      <c r="BA16" s="359">
        <v>118</v>
      </c>
      <c r="BB16" s="359" t="s">
        <v>249</v>
      </c>
      <c r="BC16" s="359" t="s">
        <v>249</v>
      </c>
      <c r="BD16" s="359" t="s">
        <v>249</v>
      </c>
      <c r="BE16" s="359">
        <v>121</v>
      </c>
      <c r="BF16" s="359">
        <v>121</v>
      </c>
      <c r="BG16" s="359" t="s">
        <v>249</v>
      </c>
      <c r="BH16" s="359" t="s">
        <v>249</v>
      </c>
      <c r="BI16" s="359" t="s">
        <v>249</v>
      </c>
      <c r="BJ16" s="359">
        <v>124</v>
      </c>
      <c r="BK16" s="359">
        <v>106</v>
      </c>
      <c r="BL16" s="359" t="s">
        <v>249</v>
      </c>
      <c r="BM16" s="359" t="s">
        <v>249</v>
      </c>
      <c r="BN16" s="359" t="s">
        <v>249</v>
      </c>
      <c r="BO16" s="359">
        <v>109</v>
      </c>
      <c r="BP16" s="359">
        <v>96</v>
      </c>
      <c r="BQ16" s="359" t="s">
        <v>249</v>
      </c>
      <c r="BR16" s="359" t="s">
        <v>249</v>
      </c>
      <c r="BS16" s="359" t="s">
        <v>249</v>
      </c>
      <c r="BT16" s="359">
        <v>98</v>
      </c>
      <c r="BU16" s="365">
        <f t="shared" si="6"/>
        <v>441</v>
      </c>
      <c r="BV16" s="359" t="s">
        <v>249</v>
      </c>
      <c r="BW16" s="359" t="s">
        <v>249</v>
      </c>
      <c r="BX16" s="359" t="s">
        <v>249</v>
      </c>
      <c r="BY16" s="359">
        <f>BE16+BJ16+BO16+BT16</f>
        <v>452</v>
      </c>
      <c r="BZ16" s="359">
        <v>90</v>
      </c>
      <c r="CA16" s="359" t="s">
        <v>249</v>
      </c>
      <c r="CB16" s="359" t="s">
        <v>249</v>
      </c>
      <c r="CC16" s="359" t="s">
        <v>249</v>
      </c>
      <c r="CD16" s="359">
        <v>94</v>
      </c>
      <c r="CE16" s="359">
        <v>116</v>
      </c>
      <c r="CF16" s="359" t="s">
        <v>249</v>
      </c>
      <c r="CG16" s="359">
        <v>28</v>
      </c>
      <c r="CH16" s="359" t="s">
        <v>249</v>
      </c>
      <c r="CI16" s="359">
        <v>91</v>
      </c>
      <c r="CJ16" s="359">
        <v>95</v>
      </c>
      <c r="CK16" s="359" t="s">
        <v>249</v>
      </c>
      <c r="CL16" s="359">
        <v>13</v>
      </c>
      <c r="CM16" s="359" t="s">
        <v>249</v>
      </c>
      <c r="CN16" s="359">
        <v>85</v>
      </c>
      <c r="CO16" s="359">
        <v>70</v>
      </c>
      <c r="CP16" s="359" t="s">
        <v>249</v>
      </c>
      <c r="CQ16" s="359">
        <v>21</v>
      </c>
      <c r="CR16" s="359" t="s">
        <v>249</v>
      </c>
      <c r="CS16" s="359">
        <v>52</v>
      </c>
      <c r="CT16" s="365">
        <f t="shared" si="9"/>
        <v>371</v>
      </c>
      <c r="CU16" s="359" t="s">
        <v>249</v>
      </c>
      <c r="CV16" s="359">
        <f>CG16+CL16+CQ16</f>
        <v>62</v>
      </c>
      <c r="CW16" s="359" t="s">
        <v>249</v>
      </c>
      <c r="CX16" s="359">
        <f>CD16+CI16+CN16+CS16</f>
        <v>322</v>
      </c>
      <c r="CY16" s="359">
        <v>105</v>
      </c>
      <c r="CZ16" s="359" t="s">
        <v>249</v>
      </c>
      <c r="DA16" s="359">
        <v>23</v>
      </c>
      <c r="DB16" s="359" t="s">
        <v>249</v>
      </c>
      <c r="DC16" s="359">
        <v>85</v>
      </c>
      <c r="DD16" s="359">
        <v>98</v>
      </c>
      <c r="DE16" s="359" t="s">
        <v>249</v>
      </c>
      <c r="DF16" s="359">
        <v>26</v>
      </c>
      <c r="DG16" s="359" t="s">
        <v>249</v>
      </c>
      <c r="DH16" s="359">
        <v>75</v>
      </c>
      <c r="DI16" s="359">
        <v>95</v>
      </c>
      <c r="DJ16" s="359" t="s">
        <v>249</v>
      </c>
      <c r="DK16" s="359">
        <v>10</v>
      </c>
      <c r="DL16" s="359" t="s">
        <v>249</v>
      </c>
      <c r="DM16" s="359">
        <v>86</v>
      </c>
      <c r="DN16" s="359">
        <v>97</v>
      </c>
      <c r="DO16" s="359" t="s">
        <v>249</v>
      </c>
      <c r="DP16" s="359">
        <v>22</v>
      </c>
      <c r="DQ16" s="359" t="s">
        <v>249</v>
      </c>
      <c r="DR16" s="359">
        <v>78</v>
      </c>
      <c r="DS16" s="365">
        <f t="shared" si="10"/>
        <v>395</v>
      </c>
      <c r="DT16" s="359" t="s">
        <v>249</v>
      </c>
      <c r="DU16" s="359">
        <f>DF16+DK16+DP16</f>
        <v>58</v>
      </c>
      <c r="DV16" s="359" t="s">
        <v>249</v>
      </c>
      <c r="DW16" s="359">
        <f>DC16+DH16+DM16+DR16</f>
        <v>324</v>
      </c>
      <c r="DX16" s="359">
        <v>112</v>
      </c>
      <c r="DY16" s="359" t="s">
        <v>249</v>
      </c>
      <c r="DZ16" s="359">
        <v>27</v>
      </c>
      <c r="EA16" s="359" t="s">
        <v>249</v>
      </c>
      <c r="EB16" s="359">
        <v>88</v>
      </c>
      <c r="EC16" s="359">
        <v>92</v>
      </c>
      <c r="ED16" s="359" t="s">
        <v>249</v>
      </c>
      <c r="EE16" s="359">
        <v>25</v>
      </c>
      <c r="EF16" s="359" t="s">
        <v>249</v>
      </c>
      <c r="EG16" s="359">
        <v>70</v>
      </c>
      <c r="EH16" s="359">
        <v>96</v>
      </c>
      <c r="EI16" s="359" t="s">
        <v>249</v>
      </c>
      <c r="EJ16" s="359">
        <v>19</v>
      </c>
      <c r="EK16" s="359" t="s">
        <v>249</v>
      </c>
      <c r="EL16" s="359">
        <v>79</v>
      </c>
      <c r="EM16" s="359">
        <v>83</v>
      </c>
      <c r="EN16" s="359" t="s">
        <v>249</v>
      </c>
      <c r="EO16" s="359">
        <v>29</v>
      </c>
      <c r="EP16" s="359" t="s">
        <v>249</v>
      </c>
      <c r="EQ16" s="359">
        <v>57</v>
      </c>
      <c r="ER16" s="365">
        <f>DX16+EC16+EH16+EM16</f>
        <v>383</v>
      </c>
      <c r="ES16" s="359" t="s">
        <v>249</v>
      </c>
      <c r="ET16" s="359">
        <f t="shared" si="2"/>
        <v>100</v>
      </c>
      <c r="EU16" s="359" t="s">
        <v>249</v>
      </c>
      <c r="EV16" s="359">
        <f>EB16+EG16+EL16+EQ16</f>
        <v>294</v>
      </c>
      <c r="EW16" s="359">
        <v>97</v>
      </c>
      <c r="EX16" s="359" t="s">
        <v>249</v>
      </c>
      <c r="EY16" s="359">
        <v>22</v>
      </c>
      <c r="EZ16" s="359" t="s">
        <v>249</v>
      </c>
      <c r="FA16" s="359">
        <v>75</v>
      </c>
      <c r="FB16" s="359">
        <v>107</v>
      </c>
      <c r="FC16" s="359" t="s">
        <v>249</v>
      </c>
      <c r="FD16" s="359">
        <v>22</v>
      </c>
      <c r="FE16" s="359" t="s">
        <v>249</v>
      </c>
      <c r="FF16" s="359">
        <v>86</v>
      </c>
      <c r="FG16" s="359">
        <v>84</v>
      </c>
      <c r="FH16" s="359" t="s">
        <v>249</v>
      </c>
      <c r="FI16" s="359">
        <v>14</v>
      </c>
      <c r="FJ16" s="359" t="s">
        <v>249</v>
      </c>
      <c r="FK16" s="359">
        <v>71</v>
      </c>
      <c r="FL16" s="359">
        <v>45</v>
      </c>
      <c r="FM16" s="359" t="s">
        <v>249</v>
      </c>
      <c r="FN16" s="359">
        <v>14</v>
      </c>
      <c r="FO16" s="359" t="s">
        <v>249</v>
      </c>
      <c r="FP16" s="359">
        <v>32</v>
      </c>
      <c r="FQ16" s="365">
        <f t="shared" si="8"/>
        <v>333</v>
      </c>
      <c r="FR16" s="359" t="s">
        <v>249</v>
      </c>
      <c r="FS16" s="359">
        <f t="shared" si="3"/>
        <v>72</v>
      </c>
      <c r="FT16" s="359" t="s">
        <v>249</v>
      </c>
      <c r="FU16" s="359">
        <f t="shared" si="3"/>
        <v>264</v>
      </c>
      <c r="FV16" s="359">
        <v>105</v>
      </c>
      <c r="FW16" s="359" t="s">
        <v>249</v>
      </c>
      <c r="FX16" s="359">
        <v>26</v>
      </c>
      <c r="FY16" s="359" t="s">
        <v>249</v>
      </c>
      <c r="FZ16" s="359">
        <v>80</v>
      </c>
      <c r="GA16" s="577"/>
    </row>
    <row r="17" spans="2:183">
      <c r="B17" s="355" t="str">
        <f>names!A1926</f>
        <v>PTA</v>
      </c>
      <c r="C17" s="356">
        <v>152</v>
      </c>
      <c r="D17" s="357">
        <v>152</v>
      </c>
      <c r="E17" s="357">
        <v>0</v>
      </c>
      <c r="F17" s="357" t="s">
        <v>249</v>
      </c>
      <c r="G17" s="357" t="s">
        <v>249</v>
      </c>
      <c r="H17" s="356">
        <v>114</v>
      </c>
      <c r="I17" s="357">
        <v>114</v>
      </c>
      <c r="J17" s="357"/>
      <c r="K17" s="357" t="s">
        <v>249</v>
      </c>
      <c r="L17" s="357" t="s">
        <v>249</v>
      </c>
      <c r="M17" s="356">
        <v>150</v>
      </c>
      <c r="N17" s="357">
        <v>150</v>
      </c>
      <c r="O17" s="357"/>
      <c r="P17" s="357" t="s">
        <v>249</v>
      </c>
      <c r="Q17" s="357" t="s">
        <v>249</v>
      </c>
      <c r="R17" s="356">
        <v>150</v>
      </c>
      <c r="S17" s="357">
        <v>150</v>
      </c>
      <c r="T17" s="357">
        <v>0</v>
      </c>
      <c r="U17" s="357" t="s">
        <v>249</v>
      </c>
      <c r="V17" s="357" t="s">
        <v>249</v>
      </c>
      <c r="W17" s="368">
        <f t="shared" si="4"/>
        <v>566</v>
      </c>
      <c r="X17" s="356">
        <f t="shared" si="4"/>
        <v>566</v>
      </c>
      <c r="Y17" s="356" t="s">
        <v>249</v>
      </c>
      <c r="Z17" s="356" t="s">
        <v>249</v>
      </c>
      <c r="AA17" s="356" t="s">
        <v>249</v>
      </c>
      <c r="AB17" s="359">
        <v>147</v>
      </c>
      <c r="AC17" s="359">
        <v>147</v>
      </c>
      <c r="AD17" s="359" t="s">
        <v>249</v>
      </c>
      <c r="AE17" s="359" t="s">
        <v>249</v>
      </c>
      <c r="AF17" s="359" t="s">
        <v>249</v>
      </c>
      <c r="AG17" s="359">
        <v>94</v>
      </c>
      <c r="AH17" s="359">
        <v>94</v>
      </c>
      <c r="AI17" s="359" t="s">
        <v>249</v>
      </c>
      <c r="AJ17" s="359" t="s">
        <v>249</v>
      </c>
      <c r="AK17" s="359" t="s">
        <v>249</v>
      </c>
      <c r="AL17" s="359">
        <v>160</v>
      </c>
      <c r="AM17" s="359">
        <v>160</v>
      </c>
      <c r="AN17" s="359" t="s">
        <v>249</v>
      </c>
      <c r="AO17" s="359" t="s">
        <v>249</v>
      </c>
      <c r="AP17" s="359" t="s">
        <v>249</v>
      </c>
      <c r="AQ17" s="359">
        <v>160</v>
      </c>
      <c r="AR17" s="359">
        <v>160</v>
      </c>
      <c r="AS17" s="359" t="s">
        <v>249</v>
      </c>
      <c r="AT17" s="359" t="s">
        <v>249</v>
      </c>
      <c r="AU17" s="359" t="s">
        <v>249</v>
      </c>
      <c r="AV17" s="365">
        <f t="shared" si="5"/>
        <v>561</v>
      </c>
      <c r="AW17" s="359">
        <f t="shared" si="5"/>
        <v>561</v>
      </c>
      <c r="AX17" s="359" t="s">
        <v>249</v>
      </c>
      <c r="AY17" s="359" t="s">
        <v>249</v>
      </c>
      <c r="AZ17" s="359" t="s">
        <v>249</v>
      </c>
      <c r="BA17" s="359">
        <v>169</v>
      </c>
      <c r="BB17" s="359">
        <v>169</v>
      </c>
      <c r="BC17" s="359" t="s">
        <v>249</v>
      </c>
      <c r="BD17" s="359" t="s">
        <v>249</v>
      </c>
      <c r="BE17" s="359" t="s">
        <v>249</v>
      </c>
      <c r="BF17" s="359">
        <v>157</v>
      </c>
      <c r="BG17" s="359">
        <v>157</v>
      </c>
      <c r="BH17" s="359" t="s">
        <v>249</v>
      </c>
      <c r="BI17" s="359" t="s">
        <v>249</v>
      </c>
      <c r="BJ17" s="359" t="s">
        <v>249</v>
      </c>
      <c r="BK17" s="359">
        <v>144</v>
      </c>
      <c r="BL17" s="359">
        <v>144</v>
      </c>
      <c r="BM17" s="359" t="s">
        <v>249</v>
      </c>
      <c r="BN17" s="359" t="s">
        <v>249</v>
      </c>
      <c r="BO17" s="359" t="s">
        <v>249</v>
      </c>
      <c r="BP17" s="359">
        <v>114</v>
      </c>
      <c r="BQ17" s="359">
        <v>114</v>
      </c>
      <c r="BR17" s="359" t="s">
        <v>249</v>
      </c>
      <c r="BS17" s="359" t="s">
        <v>249</v>
      </c>
      <c r="BT17" s="359" t="s">
        <v>249</v>
      </c>
      <c r="BU17" s="365">
        <f t="shared" si="6"/>
        <v>584</v>
      </c>
      <c r="BV17" s="359">
        <f>BB17+BG17+BL17+BQ17</f>
        <v>584</v>
      </c>
      <c r="BW17" s="359" t="s">
        <v>249</v>
      </c>
      <c r="BX17" s="359" t="s">
        <v>249</v>
      </c>
      <c r="BY17" s="359" t="s">
        <v>249</v>
      </c>
      <c r="BZ17" s="359">
        <v>167</v>
      </c>
      <c r="CA17" s="359">
        <v>167</v>
      </c>
      <c r="CB17" s="359" t="s">
        <v>249</v>
      </c>
      <c r="CC17" s="359" t="s">
        <v>249</v>
      </c>
      <c r="CD17" s="359" t="s">
        <v>249</v>
      </c>
      <c r="CE17" s="359">
        <v>174</v>
      </c>
      <c r="CF17" s="359">
        <v>174</v>
      </c>
      <c r="CG17" s="359" t="s">
        <v>249</v>
      </c>
      <c r="CH17" s="359" t="s">
        <v>249</v>
      </c>
      <c r="CI17" s="359" t="s">
        <v>249</v>
      </c>
      <c r="CJ17" s="359">
        <v>134</v>
      </c>
      <c r="CK17" s="359">
        <v>134</v>
      </c>
      <c r="CL17" s="359" t="s">
        <v>249</v>
      </c>
      <c r="CM17" s="359" t="s">
        <v>249</v>
      </c>
      <c r="CN17" s="359" t="s">
        <v>249</v>
      </c>
      <c r="CO17" s="359">
        <v>126</v>
      </c>
      <c r="CP17" s="359">
        <v>126</v>
      </c>
      <c r="CQ17" s="359" t="s">
        <v>249</v>
      </c>
      <c r="CR17" s="359" t="s">
        <v>249</v>
      </c>
      <c r="CS17" s="359" t="s">
        <v>249</v>
      </c>
      <c r="CT17" s="365">
        <f t="shared" si="9"/>
        <v>601</v>
      </c>
      <c r="CU17" s="359">
        <f>CA17+CF17+CK17+CP17</f>
        <v>601</v>
      </c>
      <c r="CV17" s="359" t="s">
        <v>249</v>
      </c>
      <c r="CW17" s="359" t="s">
        <v>249</v>
      </c>
      <c r="CX17" s="359" t="s">
        <v>249</v>
      </c>
      <c r="CY17" s="359">
        <v>156</v>
      </c>
      <c r="CZ17" s="359">
        <v>156</v>
      </c>
      <c r="DA17" s="359" t="s">
        <v>249</v>
      </c>
      <c r="DB17" s="359" t="s">
        <v>249</v>
      </c>
      <c r="DC17" s="359" t="s">
        <v>249</v>
      </c>
      <c r="DD17" s="359">
        <v>100</v>
      </c>
      <c r="DE17" s="359">
        <v>100</v>
      </c>
      <c r="DF17" s="359" t="s">
        <v>249</v>
      </c>
      <c r="DG17" s="359" t="s">
        <v>249</v>
      </c>
      <c r="DH17" s="359" t="s">
        <v>249</v>
      </c>
      <c r="DI17" s="359">
        <v>159</v>
      </c>
      <c r="DJ17" s="359">
        <v>159</v>
      </c>
      <c r="DK17" s="359" t="s">
        <v>249</v>
      </c>
      <c r="DL17" s="359" t="s">
        <v>249</v>
      </c>
      <c r="DM17" s="359" t="s">
        <v>249</v>
      </c>
      <c r="DN17" s="359">
        <v>104</v>
      </c>
      <c r="DO17" s="359">
        <v>104</v>
      </c>
      <c r="DP17" s="359" t="s">
        <v>249</v>
      </c>
      <c r="DQ17" s="359" t="s">
        <v>249</v>
      </c>
      <c r="DR17" s="359" t="s">
        <v>249</v>
      </c>
      <c r="DS17" s="365">
        <f t="shared" si="10"/>
        <v>519</v>
      </c>
      <c r="DT17" s="359">
        <f>CZ17+DE17+DJ17+DO17</f>
        <v>519</v>
      </c>
      <c r="DU17" s="359" t="s">
        <v>249</v>
      </c>
      <c r="DV17" s="359" t="s">
        <v>249</v>
      </c>
      <c r="DW17" s="359" t="s">
        <v>249</v>
      </c>
      <c r="DX17" s="359">
        <v>149</v>
      </c>
      <c r="DY17" s="359">
        <v>149</v>
      </c>
      <c r="DZ17" s="359" t="s">
        <v>249</v>
      </c>
      <c r="EA17" s="359" t="s">
        <v>249</v>
      </c>
      <c r="EB17" s="359" t="s">
        <v>249</v>
      </c>
      <c r="EC17" s="359">
        <v>128</v>
      </c>
      <c r="ED17" s="359">
        <v>128</v>
      </c>
      <c r="EE17" s="359" t="s">
        <v>249</v>
      </c>
      <c r="EF17" s="359" t="s">
        <v>249</v>
      </c>
      <c r="EG17" s="359" t="s">
        <v>249</v>
      </c>
      <c r="EH17" s="359">
        <v>127</v>
      </c>
      <c r="EI17" s="359">
        <v>127</v>
      </c>
      <c r="EJ17" s="359" t="s">
        <v>249</v>
      </c>
      <c r="EK17" s="359" t="s">
        <v>249</v>
      </c>
      <c r="EL17" s="359" t="s">
        <v>249</v>
      </c>
      <c r="EM17" s="359">
        <v>82</v>
      </c>
      <c r="EN17" s="359">
        <v>82</v>
      </c>
      <c r="EO17" s="359" t="s">
        <v>249</v>
      </c>
      <c r="EP17" s="359" t="s">
        <v>249</v>
      </c>
      <c r="EQ17" s="359" t="s">
        <v>249</v>
      </c>
      <c r="ER17" s="365">
        <f t="shared" si="11"/>
        <v>486</v>
      </c>
      <c r="ES17" s="359">
        <f>DY17+ED17+EI17+EN17</f>
        <v>486</v>
      </c>
      <c r="ET17" s="359" t="s">
        <v>249</v>
      </c>
      <c r="EU17" s="359" t="s">
        <v>249</v>
      </c>
      <c r="EV17" s="359" t="s">
        <v>249</v>
      </c>
      <c r="EW17" s="359">
        <v>158</v>
      </c>
      <c r="EX17" s="359">
        <v>158</v>
      </c>
      <c r="EY17" s="359" t="s">
        <v>249</v>
      </c>
      <c r="EZ17" s="359" t="s">
        <v>249</v>
      </c>
      <c r="FA17" s="359" t="s">
        <v>249</v>
      </c>
      <c r="FB17" s="359">
        <v>164</v>
      </c>
      <c r="FC17" s="359">
        <v>164</v>
      </c>
      <c r="FD17" s="359" t="s">
        <v>249</v>
      </c>
      <c r="FE17" s="359" t="s">
        <v>249</v>
      </c>
      <c r="FF17" s="359" t="s">
        <v>249</v>
      </c>
      <c r="FG17" s="359">
        <v>174</v>
      </c>
      <c r="FH17" s="359">
        <v>174</v>
      </c>
      <c r="FI17" s="359" t="s">
        <v>249</v>
      </c>
      <c r="FJ17" s="359" t="s">
        <v>249</v>
      </c>
      <c r="FK17" s="359" t="s">
        <v>249</v>
      </c>
      <c r="FL17" s="359">
        <v>152</v>
      </c>
      <c r="FM17" s="359">
        <v>152</v>
      </c>
      <c r="FN17" s="359" t="s">
        <v>249</v>
      </c>
      <c r="FO17" s="359" t="s">
        <v>249</v>
      </c>
      <c r="FP17" s="359" t="s">
        <v>249</v>
      </c>
      <c r="FQ17" s="365">
        <f t="shared" si="8"/>
        <v>648</v>
      </c>
      <c r="FR17" s="359">
        <f t="shared" si="3"/>
        <v>648</v>
      </c>
      <c r="FS17" s="359" t="s">
        <v>249</v>
      </c>
      <c r="FT17" s="359" t="s">
        <v>249</v>
      </c>
      <c r="FU17" s="359" t="s">
        <v>249</v>
      </c>
      <c r="FV17" s="359">
        <v>163</v>
      </c>
      <c r="FW17" s="359">
        <v>163</v>
      </c>
      <c r="FX17" s="359" t="s">
        <v>249</v>
      </c>
      <c r="FY17" s="359" t="s">
        <v>249</v>
      </c>
      <c r="FZ17" s="359" t="s">
        <v>249</v>
      </c>
      <c r="GA17" s="577"/>
    </row>
    <row r="18" spans="2:183" ht="15.75" thickBot="1">
      <c r="B18" s="350" t="str">
        <f>names!A1927</f>
        <v>Pozostałe</v>
      </c>
      <c r="C18" s="351">
        <v>576</v>
      </c>
      <c r="D18" s="351">
        <v>259</v>
      </c>
      <c r="E18" s="351">
        <v>215</v>
      </c>
      <c r="F18" s="351">
        <v>35</v>
      </c>
      <c r="G18" s="352">
        <v>112</v>
      </c>
      <c r="H18" s="351">
        <v>541</v>
      </c>
      <c r="I18" s="351">
        <v>387</v>
      </c>
      <c r="J18" s="351">
        <v>196</v>
      </c>
      <c r="K18" s="351">
        <v>41</v>
      </c>
      <c r="L18" s="352">
        <v>78</v>
      </c>
      <c r="M18" s="351">
        <v>618</v>
      </c>
      <c r="N18" s="351">
        <v>509</v>
      </c>
      <c r="O18" s="351">
        <v>209</v>
      </c>
      <c r="P18" s="351">
        <v>67</v>
      </c>
      <c r="Q18" s="352">
        <v>80</v>
      </c>
      <c r="R18" s="351">
        <v>569</v>
      </c>
      <c r="S18" s="352">
        <v>442</v>
      </c>
      <c r="T18" s="352">
        <v>220</v>
      </c>
      <c r="U18" s="352">
        <v>21</v>
      </c>
      <c r="V18" s="352">
        <v>92</v>
      </c>
      <c r="W18" s="367">
        <f t="shared" si="4"/>
        <v>2304</v>
      </c>
      <c r="X18" s="351">
        <f t="shared" si="4"/>
        <v>1597</v>
      </c>
      <c r="Y18" s="351">
        <f t="shared" si="4"/>
        <v>840</v>
      </c>
      <c r="Z18" s="351">
        <f t="shared" si="4"/>
        <v>164</v>
      </c>
      <c r="AA18" s="351">
        <f t="shared" si="4"/>
        <v>362</v>
      </c>
      <c r="AB18" s="354">
        <v>577</v>
      </c>
      <c r="AC18" s="354">
        <v>241</v>
      </c>
      <c r="AD18" s="354">
        <v>212</v>
      </c>
      <c r="AE18" s="354">
        <v>47</v>
      </c>
      <c r="AF18" s="354"/>
      <c r="AG18" s="354">
        <v>554</v>
      </c>
      <c r="AH18" s="354">
        <v>401</v>
      </c>
      <c r="AI18" s="354">
        <v>217</v>
      </c>
      <c r="AJ18" s="354">
        <v>47</v>
      </c>
      <c r="AK18" s="354">
        <v>69</v>
      </c>
      <c r="AL18" s="354">
        <v>564</v>
      </c>
      <c r="AM18" s="354">
        <v>505</v>
      </c>
      <c r="AN18" s="354">
        <v>220</v>
      </c>
      <c r="AO18" s="354">
        <v>47</v>
      </c>
      <c r="AP18" s="354">
        <v>76</v>
      </c>
      <c r="AQ18" s="354">
        <v>560</v>
      </c>
      <c r="AR18" s="354">
        <v>389</v>
      </c>
      <c r="AS18" s="354">
        <v>180</v>
      </c>
      <c r="AT18" s="354">
        <v>76</v>
      </c>
      <c r="AU18" s="354">
        <v>106</v>
      </c>
      <c r="AV18" s="364">
        <f t="shared" si="5"/>
        <v>2255</v>
      </c>
      <c r="AW18" s="354">
        <f t="shared" si="5"/>
        <v>1536</v>
      </c>
      <c r="AX18" s="354">
        <f t="shared" si="5"/>
        <v>829</v>
      </c>
      <c r="AY18" s="354">
        <f t="shared" si="5"/>
        <v>217</v>
      </c>
      <c r="AZ18" s="354">
        <f t="shared" si="5"/>
        <v>251</v>
      </c>
      <c r="BA18" s="354">
        <v>523</v>
      </c>
      <c r="BB18" s="354">
        <v>121</v>
      </c>
      <c r="BC18" s="354">
        <v>202</v>
      </c>
      <c r="BD18" s="354">
        <v>38</v>
      </c>
      <c r="BE18" s="354">
        <v>124</v>
      </c>
      <c r="BF18" s="354">
        <v>616</v>
      </c>
      <c r="BG18" s="354">
        <v>149</v>
      </c>
      <c r="BH18" s="354">
        <v>261</v>
      </c>
      <c r="BI18" s="354">
        <v>67</v>
      </c>
      <c r="BJ18" s="354">
        <v>119.5</v>
      </c>
      <c r="BK18" s="354">
        <v>594</v>
      </c>
      <c r="BL18" s="354">
        <v>140</v>
      </c>
      <c r="BM18" s="354">
        <v>270</v>
      </c>
      <c r="BN18" s="354">
        <v>45</v>
      </c>
      <c r="BO18" s="354">
        <v>103</v>
      </c>
      <c r="BP18" s="354">
        <v>580</v>
      </c>
      <c r="BQ18" s="354">
        <v>141</v>
      </c>
      <c r="BR18" s="354">
        <v>270</v>
      </c>
      <c r="BS18" s="354">
        <v>44</v>
      </c>
      <c r="BT18" s="354">
        <v>99</v>
      </c>
      <c r="BU18" s="364">
        <f t="shared" si="6"/>
        <v>2313</v>
      </c>
      <c r="BV18" s="354">
        <f>BB18+BG18+BL18+BQ18</f>
        <v>551</v>
      </c>
      <c r="BW18" s="354">
        <f>BC18+BH18+BM18+BR18</f>
        <v>1003</v>
      </c>
      <c r="BX18" s="354">
        <f>BD18+BI18+BN18+BS18</f>
        <v>194</v>
      </c>
      <c r="BY18" s="354">
        <f>BE18+BJ18+BO18+BT18</f>
        <v>445.5</v>
      </c>
      <c r="BZ18" s="354">
        <v>625</v>
      </c>
      <c r="CA18" s="354">
        <v>136</v>
      </c>
      <c r="CB18" s="354">
        <v>289</v>
      </c>
      <c r="CC18" s="354">
        <v>38</v>
      </c>
      <c r="CD18" s="354">
        <v>106</v>
      </c>
      <c r="CE18" s="354">
        <v>625</v>
      </c>
      <c r="CF18" s="354">
        <v>123</v>
      </c>
      <c r="CG18" s="354">
        <v>338</v>
      </c>
      <c r="CH18" s="354">
        <v>66</v>
      </c>
      <c r="CI18" s="354">
        <v>90</v>
      </c>
      <c r="CJ18" s="354">
        <v>659</v>
      </c>
      <c r="CK18" s="354">
        <v>125</v>
      </c>
      <c r="CL18" s="354">
        <v>354</v>
      </c>
      <c r="CM18" s="354">
        <v>56</v>
      </c>
      <c r="CN18" s="354">
        <v>62</v>
      </c>
      <c r="CO18" s="354">
        <v>614</v>
      </c>
      <c r="CP18" s="354">
        <v>111</v>
      </c>
      <c r="CQ18" s="354">
        <v>321</v>
      </c>
      <c r="CR18" s="354">
        <v>62</v>
      </c>
      <c r="CS18" s="354">
        <v>60</v>
      </c>
      <c r="CT18" s="364">
        <f t="shared" si="9"/>
        <v>2523</v>
      </c>
      <c r="CU18" s="354">
        <f>CA18+CF18+CK18+CP18</f>
        <v>495</v>
      </c>
      <c r="CV18" s="354">
        <f>CB18+CG18+CL18+CQ18</f>
        <v>1302</v>
      </c>
      <c r="CW18" s="354">
        <f>CC18+CH18+CM18+CR18</f>
        <v>222</v>
      </c>
      <c r="CX18" s="354">
        <f>CD18+CI18+CN18+CS18</f>
        <v>318</v>
      </c>
      <c r="CY18" s="354">
        <v>617</v>
      </c>
      <c r="CZ18" s="354">
        <v>114</v>
      </c>
      <c r="DA18" s="354">
        <v>306</v>
      </c>
      <c r="DB18" s="354">
        <v>50</v>
      </c>
      <c r="DC18" s="354">
        <v>96</v>
      </c>
      <c r="DD18" s="354">
        <v>780</v>
      </c>
      <c r="DE18" s="354">
        <v>180</v>
      </c>
      <c r="DF18" s="354">
        <v>312</v>
      </c>
      <c r="DG18" s="354">
        <v>53</v>
      </c>
      <c r="DH18" s="354">
        <v>149</v>
      </c>
      <c r="DI18" s="354">
        <v>683</v>
      </c>
      <c r="DJ18" s="354">
        <v>129</v>
      </c>
      <c r="DK18" s="354">
        <v>304</v>
      </c>
      <c r="DL18" s="354">
        <v>60</v>
      </c>
      <c r="DM18" s="354">
        <v>105</v>
      </c>
      <c r="DN18" s="354">
        <v>702</v>
      </c>
      <c r="DO18" s="354">
        <v>122</v>
      </c>
      <c r="DP18" s="354">
        <v>356</v>
      </c>
      <c r="DQ18" s="354">
        <v>40</v>
      </c>
      <c r="DR18" s="354">
        <v>101</v>
      </c>
      <c r="DS18" s="364">
        <f t="shared" si="10"/>
        <v>2782</v>
      </c>
      <c r="DT18" s="354">
        <f>CZ18+DE18+DJ18+DO18</f>
        <v>545</v>
      </c>
      <c r="DU18" s="354">
        <f>DA18+DF18+DK18+DP18</f>
        <v>1278</v>
      </c>
      <c r="DV18" s="354">
        <f>DB18+DG18+DL18+DQ18</f>
        <v>203</v>
      </c>
      <c r="DW18" s="354">
        <f>DC18+DH18+DM18+DR18</f>
        <v>451</v>
      </c>
      <c r="DX18" s="354">
        <v>648</v>
      </c>
      <c r="DY18" s="454">
        <v>134</v>
      </c>
      <c r="DZ18" s="354">
        <v>271</v>
      </c>
      <c r="EA18" s="354">
        <v>59</v>
      </c>
      <c r="EB18" s="354">
        <v>116</v>
      </c>
      <c r="EC18" s="354">
        <v>641</v>
      </c>
      <c r="ED18" s="454">
        <v>142</v>
      </c>
      <c r="EE18" s="354">
        <v>256</v>
      </c>
      <c r="EF18" s="354">
        <v>61</v>
      </c>
      <c r="EG18" s="354">
        <v>105</v>
      </c>
      <c r="EH18" s="354">
        <v>673</v>
      </c>
      <c r="EI18" s="454">
        <v>148</v>
      </c>
      <c r="EJ18" s="354">
        <v>254</v>
      </c>
      <c r="EK18" s="354">
        <v>65</v>
      </c>
      <c r="EL18" s="354">
        <v>106</v>
      </c>
      <c r="EM18" s="354">
        <v>630</v>
      </c>
      <c r="EN18" s="354">
        <v>149</v>
      </c>
      <c r="EO18" s="354">
        <v>233</v>
      </c>
      <c r="EP18" s="354">
        <v>56</v>
      </c>
      <c r="EQ18" s="354">
        <v>79</v>
      </c>
      <c r="ER18" s="364">
        <f t="shared" si="11"/>
        <v>2592</v>
      </c>
      <c r="ES18" s="354">
        <f>DY18+ED18+EI18+EN18</f>
        <v>573</v>
      </c>
      <c r="ET18" s="359">
        <f t="shared" si="2"/>
        <v>1014</v>
      </c>
      <c r="EU18" s="354">
        <f>EA18+EF18+EK18+EP18</f>
        <v>241</v>
      </c>
      <c r="EV18" s="354">
        <f>EB18+EG18+EL18+EQ18</f>
        <v>406</v>
      </c>
      <c r="EW18" s="354">
        <v>693</v>
      </c>
      <c r="EX18" s="454">
        <v>145</v>
      </c>
      <c r="EY18" s="354">
        <v>314</v>
      </c>
      <c r="EZ18" s="354">
        <v>49</v>
      </c>
      <c r="FA18" s="354">
        <v>105</v>
      </c>
      <c r="FB18" s="354">
        <v>640</v>
      </c>
      <c r="FC18" s="454">
        <v>114</v>
      </c>
      <c r="FD18" s="354">
        <v>288</v>
      </c>
      <c r="FE18" s="354">
        <v>76</v>
      </c>
      <c r="FF18" s="354">
        <v>114</v>
      </c>
      <c r="FG18" s="354">
        <v>722</v>
      </c>
      <c r="FH18" s="454">
        <v>164</v>
      </c>
      <c r="FI18" s="354">
        <v>315</v>
      </c>
      <c r="FJ18" s="354">
        <v>75</v>
      </c>
      <c r="FK18" s="354">
        <v>106</v>
      </c>
      <c r="FL18" s="354">
        <v>678</v>
      </c>
      <c r="FM18" s="454">
        <v>146</v>
      </c>
      <c r="FN18" s="354">
        <v>281</v>
      </c>
      <c r="FO18" s="354">
        <v>80</v>
      </c>
      <c r="FP18" s="354">
        <v>71</v>
      </c>
      <c r="FQ18" s="364">
        <f t="shared" si="8"/>
        <v>2733</v>
      </c>
      <c r="FR18" s="454">
        <f t="shared" si="3"/>
        <v>569</v>
      </c>
      <c r="FS18" s="354">
        <f t="shared" si="3"/>
        <v>1198</v>
      </c>
      <c r="FT18" s="354">
        <f t="shared" si="3"/>
        <v>280</v>
      </c>
      <c r="FU18" s="354">
        <f t="shared" si="3"/>
        <v>396</v>
      </c>
      <c r="FV18" s="354">
        <v>659</v>
      </c>
      <c r="FW18" s="454">
        <v>145</v>
      </c>
      <c r="FX18" s="354">
        <v>291</v>
      </c>
      <c r="FY18" s="354">
        <v>59</v>
      </c>
      <c r="FZ18" s="354">
        <v>111</v>
      </c>
      <c r="GA18" s="577"/>
    </row>
    <row r="19" spans="2:183" ht="15.75" thickBot="1">
      <c r="B19" s="341" t="str">
        <f>names!A1928</f>
        <v>Produkcja razem</v>
      </c>
      <c r="C19" s="349">
        <f t="shared" ref="C19:R19" si="12">SUM(C9:C18)</f>
        <v>7340</v>
      </c>
      <c r="D19" s="360">
        <f t="shared" si="12"/>
        <v>3279</v>
      </c>
      <c r="E19" s="360">
        <f t="shared" si="12"/>
        <v>1103</v>
      </c>
      <c r="F19" s="360">
        <f t="shared" si="12"/>
        <v>2429</v>
      </c>
      <c r="G19" s="360">
        <f t="shared" si="12"/>
        <v>514</v>
      </c>
      <c r="H19" s="349">
        <f t="shared" si="12"/>
        <v>7114</v>
      </c>
      <c r="I19" s="360">
        <f t="shared" si="12"/>
        <v>3485</v>
      </c>
      <c r="J19" s="360">
        <f t="shared" si="12"/>
        <v>1121</v>
      </c>
      <c r="K19" s="360">
        <f t="shared" si="12"/>
        <v>2013</v>
      </c>
      <c r="L19" s="360">
        <f t="shared" si="12"/>
        <v>442</v>
      </c>
      <c r="M19" s="349">
        <f t="shared" si="12"/>
        <v>7959</v>
      </c>
      <c r="N19" s="360">
        <f t="shared" si="12"/>
        <v>3998</v>
      </c>
      <c r="O19" s="360">
        <f t="shared" si="12"/>
        <v>1127</v>
      </c>
      <c r="P19" s="360">
        <f t="shared" si="12"/>
        <v>2369</v>
      </c>
      <c r="Q19" s="360">
        <f t="shared" si="12"/>
        <v>358</v>
      </c>
      <c r="R19" s="349">
        <f t="shared" si="12"/>
        <v>7685</v>
      </c>
      <c r="S19" s="349">
        <f t="shared" ref="S19:BE19" si="13">SUM(S9:S18)</f>
        <v>3834</v>
      </c>
      <c r="T19" s="349">
        <f t="shared" si="13"/>
        <v>1144</v>
      </c>
      <c r="U19" s="349">
        <f t="shared" si="13"/>
        <v>2155</v>
      </c>
      <c r="V19" s="349">
        <f t="shared" si="13"/>
        <v>511</v>
      </c>
      <c r="W19" s="369">
        <f t="shared" si="13"/>
        <v>30098</v>
      </c>
      <c r="X19" s="360">
        <f t="shared" si="13"/>
        <v>14596</v>
      </c>
      <c r="Y19" s="360">
        <f t="shared" si="13"/>
        <v>4494</v>
      </c>
      <c r="Z19" s="360">
        <f t="shared" si="13"/>
        <v>8966</v>
      </c>
      <c r="AA19" s="360">
        <f t="shared" si="13"/>
        <v>1825</v>
      </c>
      <c r="AB19" s="349">
        <f t="shared" si="13"/>
        <v>6498</v>
      </c>
      <c r="AC19" s="349">
        <f t="shared" si="13"/>
        <v>3257</v>
      </c>
      <c r="AD19" s="349">
        <f t="shared" si="13"/>
        <v>1289</v>
      </c>
      <c r="AE19" s="349">
        <f t="shared" si="13"/>
        <v>1393</v>
      </c>
      <c r="AF19" s="349">
        <f t="shared" si="13"/>
        <v>434</v>
      </c>
      <c r="AG19" s="349">
        <f t="shared" si="13"/>
        <v>6852</v>
      </c>
      <c r="AH19" s="349">
        <f t="shared" si="13"/>
        <v>3047</v>
      </c>
      <c r="AI19" s="349">
        <f t="shared" si="13"/>
        <v>1496</v>
      </c>
      <c r="AJ19" s="349">
        <f t="shared" si="13"/>
        <v>1890</v>
      </c>
      <c r="AK19" s="349">
        <f t="shared" si="13"/>
        <v>416</v>
      </c>
      <c r="AL19" s="349">
        <f t="shared" si="13"/>
        <v>8027</v>
      </c>
      <c r="AM19" s="349">
        <f t="shared" si="13"/>
        <v>3908</v>
      </c>
      <c r="AN19" s="349">
        <f t="shared" si="13"/>
        <v>1563</v>
      </c>
      <c r="AO19" s="349">
        <f t="shared" si="13"/>
        <v>2028</v>
      </c>
      <c r="AP19" s="349">
        <f t="shared" si="13"/>
        <v>480</v>
      </c>
      <c r="AQ19" s="349">
        <f t="shared" si="13"/>
        <v>7670</v>
      </c>
      <c r="AR19" s="349">
        <f t="shared" si="13"/>
        <v>3513</v>
      </c>
      <c r="AS19" s="349">
        <f t="shared" si="13"/>
        <v>1446</v>
      </c>
      <c r="AT19" s="349">
        <f t="shared" si="13"/>
        <v>2173</v>
      </c>
      <c r="AU19" s="349">
        <f t="shared" si="13"/>
        <v>515</v>
      </c>
      <c r="AV19" s="361">
        <f t="shared" si="13"/>
        <v>29047</v>
      </c>
      <c r="AW19" s="349">
        <f t="shared" si="13"/>
        <v>13725</v>
      </c>
      <c r="AX19" s="349">
        <f t="shared" si="13"/>
        <v>5794</v>
      </c>
      <c r="AY19" s="349">
        <f t="shared" si="13"/>
        <v>7484</v>
      </c>
      <c r="AZ19" s="349">
        <f t="shared" si="13"/>
        <v>1845</v>
      </c>
      <c r="BA19" s="349">
        <f t="shared" si="13"/>
        <v>6964</v>
      </c>
      <c r="BB19" s="349">
        <f t="shared" si="13"/>
        <v>3383</v>
      </c>
      <c r="BC19" s="349">
        <f t="shared" si="13"/>
        <v>1397</v>
      </c>
      <c r="BD19" s="349">
        <f t="shared" si="13"/>
        <v>1641</v>
      </c>
      <c r="BE19" s="349">
        <f t="shared" si="13"/>
        <v>532</v>
      </c>
      <c r="BF19" s="349">
        <v>8618</v>
      </c>
      <c r="BG19" s="349">
        <v>3862</v>
      </c>
      <c r="BH19" s="349">
        <v>1976</v>
      </c>
      <c r="BI19" s="349">
        <v>2292</v>
      </c>
      <c r="BJ19" s="349">
        <v>552.5</v>
      </c>
      <c r="BK19" s="349">
        <v>8503</v>
      </c>
      <c r="BL19" s="349">
        <v>3944</v>
      </c>
      <c r="BM19" s="349">
        <v>1955</v>
      </c>
      <c r="BN19" s="349">
        <v>2161</v>
      </c>
      <c r="BO19" s="349">
        <v>463</v>
      </c>
      <c r="BP19" s="349">
        <v>8146</v>
      </c>
      <c r="BQ19" s="349">
        <v>3608</v>
      </c>
      <c r="BR19" s="349">
        <v>1731</v>
      </c>
      <c r="BS19" s="349">
        <v>2296</v>
      </c>
      <c r="BT19" s="349">
        <v>497</v>
      </c>
      <c r="BU19" s="361">
        <f t="shared" ref="BU19:CX19" si="14">SUM(BU9:BU18)</f>
        <v>32231</v>
      </c>
      <c r="BV19" s="349">
        <f t="shared" si="14"/>
        <v>14797</v>
      </c>
      <c r="BW19" s="349">
        <f t="shared" si="14"/>
        <v>7059</v>
      </c>
      <c r="BX19" s="349">
        <f t="shared" si="14"/>
        <v>8390</v>
      </c>
      <c r="BY19" s="349">
        <f t="shared" si="14"/>
        <v>2044.5</v>
      </c>
      <c r="BZ19" s="349">
        <f t="shared" si="14"/>
        <v>7671</v>
      </c>
      <c r="CA19" s="349">
        <f t="shared" si="14"/>
        <v>3270</v>
      </c>
      <c r="CB19" s="349">
        <f t="shared" si="14"/>
        <v>1606</v>
      </c>
      <c r="CC19" s="349">
        <f t="shared" si="14"/>
        <v>2234</v>
      </c>
      <c r="CD19" s="349">
        <f t="shared" si="14"/>
        <v>504</v>
      </c>
      <c r="CE19" s="349">
        <f t="shared" si="14"/>
        <v>7450</v>
      </c>
      <c r="CF19" s="349">
        <f t="shared" si="14"/>
        <v>3537</v>
      </c>
      <c r="CG19" s="349">
        <f t="shared" si="14"/>
        <v>1383</v>
      </c>
      <c r="CH19" s="349">
        <f t="shared" si="14"/>
        <v>2143</v>
      </c>
      <c r="CI19" s="349">
        <f t="shared" si="14"/>
        <v>403</v>
      </c>
      <c r="CJ19" s="349">
        <f t="shared" si="14"/>
        <v>8025</v>
      </c>
      <c r="CK19" s="349">
        <f t="shared" si="14"/>
        <v>3863</v>
      </c>
      <c r="CL19" s="349">
        <f t="shared" si="14"/>
        <v>1372</v>
      </c>
      <c r="CM19" s="349">
        <f t="shared" si="14"/>
        <v>2381</v>
      </c>
      <c r="CN19" s="349">
        <f t="shared" si="14"/>
        <v>334</v>
      </c>
      <c r="CO19" s="349">
        <f t="shared" si="14"/>
        <v>8548</v>
      </c>
      <c r="CP19" s="349">
        <f t="shared" si="14"/>
        <v>3458</v>
      </c>
      <c r="CQ19" s="349">
        <f t="shared" si="14"/>
        <v>2162</v>
      </c>
      <c r="CR19" s="349">
        <f t="shared" si="14"/>
        <v>2472</v>
      </c>
      <c r="CS19" s="349">
        <f t="shared" si="14"/>
        <v>382</v>
      </c>
      <c r="CT19" s="361">
        <f t="shared" si="14"/>
        <v>31694</v>
      </c>
      <c r="CU19" s="349">
        <f t="shared" si="14"/>
        <v>14128</v>
      </c>
      <c r="CV19" s="349">
        <f t="shared" si="14"/>
        <v>6523</v>
      </c>
      <c r="CW19" s="349">
        <f t="shared" si="14"/>
        <v>9230</v>
      </c>
      <c r="CX19" s="349">
        <f t="shared" si="14"/>
        <v>1623</v>
      </c>
      <c r="CY19" s="349">
        <v>8019</v>
      </c>
      <c r="CZ19" s="349">
        <v>3437</v>
      </c>
      <c r="DA19" s="349">
        <v>2031</v>
      </c>
      <c r="DB19" s="349">
        <v>2108</v>
      </c>
      <c r="DC19" s="349">
        <v>404</v>
      </c>
      <c r="DD19" s="349">
        <f t="shared" ref="DD19:DI19" si="15">SUM(DD9:DD18)</f>
        <v>8143</v>
      </c>
      <c r="DE19" s="349">
        <f t="shared" si="15"/>
        <v>3097</v>
      </c>
      <c r="DF19" s="349">
        <f t="shared" si="15"/>
        <v>2272</v>
      </c>
      <c r="DG19" s="349">
        <f t="shared" si="15"/>
        <v>2246</v>
      </c>
      <c r="DH19" s="349">
        <f t="shared" si="15"/>
        <v>473</v>
      </c>
      <c r="DI19" s="349">
        <f t="shared" si="15"/>
        <v>9319</v>
      </c>
      <c r="DJ19" s="349">
        <f t="shared" ref="DJ19:EG19" si="16">SUM(DJ9:DJ18)</f>
        <v>3965</v>
      </c>
      <c r="DK19" s="349">
        <f t="shared" si="16"/>
        <v>2292</v>
      </c>
      <c r="DL19" s="349">
        <f t="shared" si="16"/>
        <v>2570</v>
      </c>
      <c r="DM19" s="349">
        <f t="shared" si="16"/>
        <v>430</v>
      </c>
      <c r="DN19" s="349">
        <f t="shared" si="16"/>
        <v>8943</v>
      </c>
      <c r="DO19" s="349">
        <f t="shared" si="16"/>
        <v>3970</v>
      </c>
      <c r="DP19" s="349">
        <f t="shared" si="16"/>
        <v>2004</v>
      </c>
      <c r="DQ19" s="349">
        <f t="shared" si="16"/>
        <v>2549</v>
      </c>
      <c r="DR19" s="349">
        <f t="shared" si="16"/>
        <v>372</v>
      </c>
      <c r="DS19" s="361">
        <f t="shared" si="16"/>
        <v>34424</v>
      </c>
      <c r="DT19" s="349">
        <f t="shared" si="16"/>
        <v>14469</v>
      </c>
      <c r="DU19" s="349">
        <f t="shared" si="16"/>
        <v>8531</v>
      </c>
      <c r="DV19" s="349">
        <f t="shared" si="16"/>
        <v>9473</v>
      </c>
      <c r="DW19" s="349">
        <f t="shared" si="16"/>
        <v>1679</v>
      </c>
      <c r="DX19" s="349">
        <f t="shared" si="16"/>
        <v>8560</v>
      </c>
      <c r="DY19" s="349">
        <f t="shared" si="16"/>
        <v>3819</v>
      </c>
      <c r="DZ19" s="349">
        <f t="shared" si="16"/>
        <v>2001</v>
      </c>
      <c r="EA19" s="349">
        <f t="shared" si="16"/>
        <v>2233</v>
      </c>
      <c r="EB19" s="349">
        <f t="shared" si="16"/>
        <v>460</v>
      </c>
      <c r="EC19" s="349">
        <f t="shared" si="16"/>
        <v>7943</v>
      </c>
      <c r="ED19" s="349">
        <f t="shared" si="16"/>
        <v>3625</v>
      </c>
      <c r="EE19" s="349">
        <f t="shared" si="16"/>
        <v>1860</v>
      </c>
      <c r="EF19" s="349">
        <f t="shared" si="16"/>
        <v>2037</v>
      </c>
      <c r="EG19" s="349">
        <f t="shared" si="16"/>
        <v>363</v>
      </c>
      <c r="EH19" s="349">
        <v>9063</v>
      </c>
      <c r="EI19" s="349">
        <v>3858</v>
      </c>
      <c r="EJ19" s="349">
        <v>2153</v>
      </c>
      <c r="EK19" s="349">
        <v>2536</v>
      </c>
      <c r="EL19" s="349">
        <v>442</v>
      </c>
      <c r="EM19" s="349">
        <v>8878</v>
      </c>
      <c r="EN19" s="349">
        <v>3791</v>
      </c>
      <c r="EO19" s="349">
        <v>2184</v>
      </c>
      <c r="EP19" s="349">
        <v>2479</v>
      </c>
      <c r="EQ19" s="349">
        <v>314</v>
      </c>
      <c r="ER19" s="361">
        <f t="shared" ref="ER19:FA19" si="17">SUM(ER9:ER18)</f>
        <v>34444</v>
      </c>
      <c r="ES19" s="349">
        <f t="shared" si="17"/>
        <v>15093</v>
      </c>
      <c r="ET19" s="349">
        <f t="shared" si="17"/>
        <v>8198</v>
      </c>
      <c r="EU19" s="349">
        <f t="shared" si="17"/>
        <v>9285</v>
      </c>
      <c r="EV19" s="349">
        <f t="shared" si="17"/>
        <v>1579</v>
      </c>
      <c r="EW19" s="349">
        <f t="shared" si="17"/>
        <v>8397</v>
      </c>
      <c r="EX19" s="349">
        <f t="shared" si="17"/>
        <v>3820</v>
      </c>
      <c r="EY19" s="349">
        <f t="shared" si="17"/>
        <v>2021</v>
      </c>
      <c r="EZ19" s="349">
        <f t="shared" si="17"/>
        <v>2079</v>
      </c>
      <c r="FA19" s="349">
        <f t="shared" si="17"/>
        <v>427</v>
      </c>
      <c r="FB19" s="349">
        <f t="shared" ref="FB19:FL19" si="18">SUM(FB9:FB18)</f>
        <v>8751</v>
      </c>
      <c r="FC19" s="349">
        <f t="shared" si="18"/>
        <v>3925</v>
      </c>
      <c r="FD19" s="349">
        <f t="shared" si="18"/>
        <v>2090</v>
      </c>
      <c r="FE19" s="349">
        <f t="shared" si="18"/>
        <v>2362</v>
      </c>
      <c r="FF19" s="349">
        <f t="shared" si="18"/>
        <v>367</v>
      </c>
      <c r="FG19" s="349">
        <f t="shared" si="18"/>
        <v>9274</v>
      </c>
      <c r="FH19" s="349">
        <f t="shared" si="18"/>
        <v>4010</v>
      </c>
      <c r="FI19" s="349">
        <f t="shared" si="18"/>
        <v>2326</v>
      </c>
      <c r="FJ19" s="349">
        <f t="shared" si="18"/>
        <v>2491</v>
      </c>
      <c r="FK19" s="349">
        <f t="shared" si="18"/>
        <v>400</v>
      </c>
      <c r="FL19" s="349">
        <f t="shared" si="18"/>
        <v>8766</v>
      </c>
      <c r="FM19" s="349">
        <f t="shared" ref="FM19:FZ19" si="19">SUM(FM9:FM18)</f>
        <v>3958</v>
      </c>
      <c r="FN19" s="349">
        <f t="shared" si="19"/>
        <v>2134</v>
      </c>
      <c r="FO19" s="349">
        <f t="shared" si="19"/>
        <v>2241</v>
      </c>
      <c r="FP19" s="349">
        <f t="shared" si="19"/>
        <v>353</v>
      </c>
      <c r="FQ19" s="361">
        <f t="shared" si="19"/>
        <v>35188</v>
      </c>
      <c r="FR19" s="349">
        <f t="shared" si="19"/>
        <v>15713</v>
      </c>
      <c r="FS19" s="349">
        <f t="shared" si="19"/>
        <v>8571</v>
      </c>
      <c r="FT19" s="349">
        <f t="shared" si="19"/>
        <v>9173</v>
      </c>
      <c r="FU19" s="349">
        <f t="shared" si="19"/>
        <v>1547</v>
      </c>
      <c r="FV19" s="349">
        <f t="shared" si="19"/>
        <v>7939</v>
      </c>
      <c r="FW19" s="349">
        <f t="shared" si="19"/>
        <v>3711</v>
      </c>
      <c r="FX19" s="349">
        <f t="shared" si="19"/>
        <v>1858</v>
      </c>
      <c r="FY19" s="349">
        <f t="shared" si="19"/>
        <v>1913</v>
      </c>
      <c r="FZ19" s="349">
        <f t="shared" si="19"/>
        <v>429</v>
      </c>
      <c r="GA19" s="577"/>
    </row>
    <row r="20" spans="2:183">
      <c r="B20" s="744" t="str">
        <f>names!A1929</f>
        <v>*) Dane przekształcone – zmiana metody konsolidacji spółek Basell ORLEN Polyolefines Sp. z o.o. i Płocki Park Przemysłowo-Technologiczny S.A. zgodnie z MSSF 11.</v>
      </c>
      <c r="C20" s="743"/>
      <c r="D20" s="743"/>
      <c r="E20" s="743"/>
      <c r="F20" s="743"/>
      <c r="G20" s="743"/>
      <c r="H20" s="743"/>
      <c r="I20" s="743"/>
      <c r="J20" s="743"/>
      <c r="K20" s="743"/>
      <c r="L20" s="743"/>
      <c r="M20" s="743"/>
      <c r="N20" s="743"/>
      <c r="O20" s="743"/>
      <c r="P20" s="743"/>
      <c r="Q20" s="743"/>
      <c r="R20" s="743"/>
      <c r="S20" s="743"/>
      <c r="T20" s="743"/>
      <c r="U20" s="743"/>
      <c r="V20" s="743"/>
      <c r="W20" s="743"/>
      <c r="X20" s="743"/>
      <c r="Y20" s="743"/>
      <c r="Z20" s="743"/>
      <c r="AA20" s="743"/>
      <c r="AB20" s="743"/>
      <c r="AC20" s="743"/>
      <c r="AD20" s="743"/>
      <c r="AE20" s="743"/>
      <c r="AF20" s="743"/>
      <c r="AG20" s="743"/>
      <c r="AH20" s="743"/>
      <c r="AI20" s="743"/>
      <c r="AJ20" s="743"/>
      <c r="AK20" s="743"/>
      <c r="AL20" s="743"/>
      <c r="AM20" s="743"/>
      <c r="AN20" s="743"/>
      <c r="AO20" s="743"/>
      <c r="AP20" s="743"/>
      <c r="AQ20" s="743"/>
      <c r="AR20" s="743"/>
      <c r="AS20" s="743"/>
      <c r="AT20" s="743"/>
      <c r="AU20" s="743"/>
      <c r="AV20" s="743"/>
      <c r="AW20" s="743"/>
      <c r="AX20" s="743"/>
      <c r="AY20" s="743"/>
      <c r="AZ20" s="743"/>
      <c r="BA20" s="743"/>
      <c r="BB20" s="743"/>
      <c r="BC20" s="743"/>
      <c r="BD20" s="743"/>
      <c r="BE20" s="743"/>
      <c r="BF20" s="743"/>
      <c r="BG20" s="743"/>
      <c r="BH20" s="743"/>
      <c r="BI20" s="743"/>
      <c r="BJ20" s="743"/>
      <c r="BK20" s="743"/>
      <c r="BL20" s="743"/>
      <c r="BM20" s="743"/>
      <c r="BN20" s="743"/>
      <c r="BO20" s="743"/>
      <c r="BP20" s="743"/>
      <c r="BQ20" s="743"/>
      <c r="BR20" s="743"/>
      <c r="BS20" s="743"/>
      <c r="BT20" s="743"/>
      <c r="BU20" s="743"/>
      <c r="BV20" s="743"/>
      <c r="BW20" s="743"/>
      <c r="BX20" s="743"/>
      <c r="BY20" s="743"/>
      <c r="BZ20" s="743"/>
      <c r="CA20" s="743"/>
      <c r="CB20" s="743"/>
      <c r="CC20" s="743"/>
      <c r="CD20" s="743"/>
      <c r="CE20" s="743"/>
      <c r="CF20" s="743"/>
      <c r="CG20" s="743"/>
      <c r="CH20" s="743"/>
      <c r="CI20" s="743"/>
      <c r="CJ20" s="743"/>
      <c r="CK20" s="743"/>
      <c r="CL20" s="743"/>
      <c r="CM20" s="743"/>
      <c r="CN20" s="743"/>
      <c r="CO20" s="743"/>
      <c r="CP20" s="743"/>
      <c r="CQ20" s="743"/>
      <c r="CR20" s="743"/>
      <c r="CS20" s="743"/>
      <c r="CT20" s="743"/>
      <c r="CU20" s="743"/>
      <c r="CV20" s="743"/>
      <c r="CW20" s="743"/>
      <c r="CX20" s="743"/>
      <c r="CY20" s="743"/>
      <c r="CZ20" s="743"/>
      <c r="DA20" s="743"/>
      <c r="DB20" s="743"/>
      <c r="DC20" s="743"/>
      <c r="DD20" s="743"/>
      <c r="DE20" s="743"/>
      <c r="DF20" s="743"/>
      <c r="DG20" s="743"/>
      <c r="DH20" s="743"/>
      <c r="DI20" s="743"/>
      <c r="DJ20" s="743"/>
      <c r="DK20" s="743"/>
      <c r="DL20" s="743"/>
      <c r="DM20" s="743"/>
      <c r="DN20" s="743"/>
      <c r="DO20" s="743"/>
      <c r="DP20" s="743"/>
      <c r="DQ20" s="743"/>
      <c r="DR20" s="743"/>
      <c r="DS20" s="743"/>
      <c r="DT20" s="743"/>
      <c r="DU20" s="743"/>
      <c r="DV20" s="743"/>
      <c r="DW20" s="743"/>
      <c r="DX20" s="743"/>
      <c r="DY20" s="743"/>
      <c r="DZ20" s="743"/>
      <c r="EA20" s="743"/>
      <c r="EB20" s="743"/>
      <c r="EC20" s="743"/>
      <c r="ED20" s="743"/>
      <c r="EE20" s="743"/>
      <c r="EF20" s="743"/>
      <c r="EG20" s="743"/>
      <c r="EH20" s="743"/>
      <c r="EI20" s="743"/>
      <c r="EJ20" s="743"/>
      <c r="EK20" s="743"/>
      <c r="EL20" s="743"/>
      <c r="EM20" s="743"/>
      <c r="EN20" s="743"/>
      <c r="EO20" s="743"/>
      <c r="EP20" s="743"/>
      <c r="EQ20" s="743"/>
      <c r="ER20" s="743"/>
      <c r="ES20" s="743"/>
      <c r="ET20" s="743"/>
      <c r="EU20" s="743"/>
      <c r="EV20" s="743"/>
      <c r="EW20" s="743"/>
      <c r="EX20" s="743"/>
      <c r="EY20" s="743"/>
      <c r="EZ20" s="743"/>
      <c r="FA20" s="743"/>
      <c r="FB20" s="743"/>
      <c r="FC20" s="743"/>
      <c r="FD20" s="743"/>
      <c r="FE20" s="743"/>
      <c r="FF20" s="743"/>
      <c r="FG20" s="743"/>
      <c r="FH20" s="743"/>
      <c r="FI20" s="743"/>
      <c r="FJ20" s="743"/>
      <c r="FK20" s="743"/>
      <c r="FL20" s="743"/>
      <c r="FM20" s="743"/>
      <c r="FN20" s="743"/>
      <c r="FO20" s="743"/>
      <c r="FP20" s="743"/>
      <c r="FQ20" s="743"/>
      <c r="FR20" s="743"/>
      <c r="FS20" s="743"/>
      <c r="FT20" s="743"/>
      <c r="FU20" s="743"/>
      <c r="FV20" s="743"/>
      <c r="FW20" s="743"/>
      <c r="FX20" s="743"/>
      <c r="FY20" s="743"/>
      <c r="FZ20" s="743"/>
      <c r="GA20" s="577"/>
    </row>
    <row r="22" spans="2:183">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7"/>
      <c r="AV22" s="577"/>
      <c r="AW22" s="577"/>
      <c r="AX22" s="577"/>
      <c r="AY22" s="577"/>
      <c r="AZ22" s="577"/>
      <c r="BA22" s="577"/>
      <c r="BB22" s="577"/>
      <c r="BC22" s="577"/>
      <c r="BD22" s="577"/>
      <c r="BE22" s="577"/>
      <c r="BF22" s="577"/>
      <c r="BG22" s="577"/>
      <c r="BH22" s="577"/>
      <c r="BI22" s="577"/>
      <c r="BJ22" s="577"/>
      <c r="BK22" s="577"/>
      <c r="BL22" s="577"/>
      <c r="BM22" s="577"/>
      <c r="BN22" s="577"/>
      <c r="BO22" s="577"/>
      <c r="BP22" s="577"/>
      <c r="BQ22" s="577"/>
      <c r="BR22" s="577"/>
      <c r="BS22" s="577"/>
      <c r="BT22" s="577"/>
      <c r="BU22" s="577"/>
      <c r="BV22" s="577"/>
      <c r="BW22" s="577"/>
      <c r="BX22" s="577"/>
      <c r="BY22" s="577"/>
      <c r="BZ22" s="577"/>
      <c r="CA22" s="577"/>
      <c r="CB22" s="577"/>
      <c r="CC22" s="577"/>
      <c r="CD22" s="577"/>
      <c r="CE22" s="577"/>
      <c r="CF22" s="577"/>
      <c r="CG22" s="577"/>
      <c r="CH22" s="577"/>
      <c r="CI22" s="577"/>
      <c r="CJ22" s="577"/>
      <c r="CK22" s="577"/>
      <c r="CL22" s="577"/>
      <c r="CM22" s="577"/>
      <c r="CN22" s="577"/>
      <c r="CO22" s="577"/>
      <c r="CP22" s="577"/>
      <c r="CQ22" s="577"/>
      <c r="CR22" s="577"/>
      <c r="CS22" s="577"/>
      <c r="CT22" s="577"/>
      <c r="CU22" s="577"/>
      <c r="CV22" s="577"/>
      <c r="CW22" s="577"/>
      <c r="CX22" s="577"/>
      <c r="CY22" s="577"/>
      <c r="CZ22" s="577"/>
      <c r="DA22" s="577"/>
      <c r="DB22" s="577"/>
      <c r="DC22" s="577"/>
      <c r="DD22" s="577"/>
      <c r="DE22" s="577"/>
      <c r="DF22" s="577"/>
      <c r="DG22" s="577"/>
      <c r="DH22" s="577"/>
      <c r="DI22" s="577"/>
      <c r="DJ22" s="577"/>
      <c r="DK22" s="577"/>
      <c r="DL22" s="577"/>
      <c r="DM22" s="577"/>
      <c r="DN22" s="577"/>
      <c r="DO22" s="577"/>
      <c r="DP22" s="577"/>
      <c r="DQ22" s="577"/>
      <c r="DR22" s="577"/>
      <c r="DS22" s="577"/>
      <c r="DT22" s="577"/>
      <c r="DU22" s="577"/>
      <c r="DV22" s="577"/>
      <c r="DW22" s="577"/>
      <c r="DX22" s="577"/>
      <c r="DY22" s="577"/>
      <c r="DZ22" s="577"/>
      <c r="EA22" s="577"/>
      <c r="EB22" s="577"/>
      <c r="EC22" s="577"/>
      <c r="ED22" s="577"/>
      <c r="EE22" s="577"/>
      <c r="EF22" s="577"/>
      <c r="EG22" s="577"/>
      <c r="EH22" s="577"/>
      <c r="EI22" s="577"/>
      <c r="EJ22" s="577"/>
      <c r="EK22" s="577"/>
      <c r="EL22" s="577"/>
      <c r="EM22" s="577"/>
      <c r="EN22" s="577"/>
      <c r="EO22" s="577"/>
      <c r="EP22" s="577"/>
      <c r="EQ22" s="577"/>
      <c r="ER22" s="577"/>
      <c r="ES22" s="577"/>
      <c r="ET22" s="577"/>
      <c r="EU22" s="577"/>
      <c r="EV22" s="577"/>
      <c r="EW22" s="577"/>
      <c r="EX22" s="577"/>
      <c r="EY22" s="577"/>
      <c r="EZ22" s="577"/>
      <c r="FA22" s="577"/>
      <c r="FB22" s="577"/>
      <c r="FC22" s="577"/>
      <c r="FD22" s="577"/>
      <c r="FE22" s="577"/>
      <c r="FF22" s="577"/>
      <c r="FG22" s="577"/>
      <c r="FH22" s="577"/>
      <c r="FI22" s="577"/>
      <c r="FJ22" s="577"/>
      <c r="FK22" s="577"/>
      <c r="FL22" s="577"/>
      <c r="FM22" s="577"/>
      <c r="FN22" s="577"/>
      <c r="FO22" s="577"/>
      <c r="FP22" s="577"/>
      <c r="FQ22" s="577"/>
      <c r="FR22" s="577"/>
      <c r="FS22" s="577"/>
      <c r="FT22" s="577"/>
      <c r="FU22" s="577"/>
      <c r="FV22" s="577"/>
      <c r="FW22" s="577"/>
      <c r="FX22" s="577"/>
      <c r="FY22" s="577"/>
      <c r="FZ22" s="577"/>
    </row>
    <row r="34" spans="173:173">
      <c r="FQ34" s="577"/>
    </row>
  </sheetData>
  <mergeCells count="36">
    <mergeCell ref="FV4:FZ4"/>
    <mergeCell ref="FL4:FP4"/>
    <mergeCell ref="FQ4:FU4"/>
    <mergeCell ref="AQ4:AU4"/>
    <mergeCell ref="CJ4:CN4"/>
    <mergeCell ref="BK4:BO4"/>
    <mergeCell ref="BA4:BE4"/>
    <mergeCell ref="BU4:BY4"/>
    <mergeCell ref="BP4:BT4"/>
    <mergeCell ref="DD4:DH4"/>
    <mergeCell ref="BF4:BJ4"/>
    <mergeCell ref="AV4:AZ4"/>
    <mergeCell ref="BZ4:CD4"/>
    <mergeCell ref="CO4:CS4"/>
    <mergeCell ref="DI4:DM4"/>
    <mergeCell ref="CE4:CI4"/>
    <mergeCell ref="AL4:AP4"/>
    <mergeCell ref="AB4:AF4"/>
    <mergeCell ref="AG4:AK4"/>
    <mergeCell ref="C4:G4"/>
    <mergeCell ref="H4:L4"/>
    <mergeCell ref="M4:Q4"/>
    <mergeCell ref="R4:V4"/>
    <mergeCell ref="W4:AA4"/>
    <mergeCell ref="EC4:EG4"/>
    <mergeCell ref="DX4:EB4"/>
    <mergeCell ref="CT4:CX4"/>
    <mergeCell ref="CY4:DC4"/>
    <mergeCell ref="FG4:FK4"/>
    <mergeCell ref="DN4:DR4"/>
    <mergeCell ref="FB4:FF4"/>
    <mergeCell ref="EW4:FA4"/>
    <mergeCell ref="EM4:EQ4"/>
    <mergeCell ref="ER4:EV4"/>
    <mergeCell ref="DS4:DW4"/>
    <mergeCell ref="EH4:EL4"/>
  </mergeCells>
  <conditionalFormatting sqref="B22:FZ22">
    <cfRule type="cellIs" dxfId="12" priority="3" operator="equal">
      <formula>FALSE</formula>
    </cfRule>
  </conditionalFormatting>
  <conditionalFormatting sqref="FQ34">
    <cfRule type="cellIs" dxfId="11" priority="1" operator="equal">
      <formula>FALSE</formula>
    </cfRule>
  </conditionalFormatting>
  <conditionalFormatting sqref="GA2:GA20">
    <cfRule type="cellIs" dxfId="10" priority="2" operator="equal">
      <formula>FALSE</formula>
    </cfRule>
  </conditionalFormatting>
  <printOptions horizontalCentered="1"/>
  <pageMargins left="0.70866141732283472" right="0.70866141732283472" top="0.74803149606299213" bottom="0.74803149606299213" header="0.31496062992125984" footer="0.31496062992125984"/>
  <pageSetup paperSize="9" orientation="landscape" r:id="rId1"/>
  <ignoredErrors>
    <ignoredError sqref="T19:BA19 R19 M19:O19 C19:H19 DD19:DH19" formulaRange="1"/>
    <ignoredError sqref="CV12 FT12" formula="1"/>
  </ignoredError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34998626667073579"/>
    <pageSetUpPr fitToPage="1"/>
  </sheetPr>
  <dimension ref="B1:FW55"/>
  <sheetViews>
    <sheetView showGridLines="0" view="pageBreakPreview" zoomScaleNormal="100" zoomScaleSheetLayoutView="100" workbookViewId="0">
      <pane xSplit="2" ySplit="4" topLeftCell="DX5" activePane="bottomRight" state="frozen"/>
      <selection activeCell="AQ16" sqref="AQ16"/>
      <selection pane="topRight" activeCell="AQ16" sqref="AQ16"/>
      <selection pane="bottomLeft" activeCell="AQ16" sqref="AQ16"/>
      <selection pane="bottomRight"/>
    </sheetView>
  </sheetViews>
  <sheetFormatPr defaultColWidth="9.28515625" defaultRowHeight="15" outlineLevelRow="1" outlineLevelCol="2"/>
  <cols>
    <col min="1" max="1" width="2.7109375" style="339" customWidth="1"/>
    <col min="2" max="2" width="28" style="339" customWidth="1"/>
    <col min="3" max="3" width="8.5703125" style="339" hidden="1" customWidth="1" outlineLevel="1"/>
    <col min="4" max="7" width="8.5703125" style="339" hidden="1" customWidth="1" outlineLevel="2"/>
    <col min="8" max="8" width="8.5703125" style="339" hidden="1" customWidth="1" outlineLevel="1" collapsed="1"/>
    <col min="9" max="12" width="8.5703125" style="339" hidden="1" customWidth="1" outlineLevel="2"/>
    <col min="13" max="13" width="8.5703125" style="339" hidden="1" customWidth="1" outlineLevel="1" collapsed="1"/>
    <col min="14" max="17" width="8.5703125" style="339" hidden="1" customWidth="1" outlineLevel="2"/>
    <col min="18" max="18" width="8.5703125" style="339" hidden="1" customWidth="1" outlineLevel="1" collapsed="1"/>
    <col min="19" max="22" width="8.5703125" style="339" hidden="1" customWidth="1" outlineLevel="2"/>
    <col min="23" max="23" width="8.5703125" style="339" hidden="1" customWidth="1" outlineLevel="1" collapsed="1"/>
    <col min="24" max="27" width="8.5703125" style="339" hidden="1" customWidth="1" outlineLevel="2"/>
    <col min="28" max="28" width="8.5703125" style="339" hidden="1" customWidth="1" outlineLevel="1" collapsed="1"/>
    <col min="29" max="32" width="8.5703125" style="339" hidden="1" customWidth="1" outlineLevel="2"/>
    <col min="33" max="33" width="8.5703125" style="339" hidden="1" customWidth="1" outlineLevel="1" collapsed="1"/>
    <col min="34" max="37" width="8.5703125" style="339" hidden="1" customWidth="1" outlineLevel="2"/>
    <col min="38" max="38" width="8.5703125" style="339" hidden="1" customWidth="1" outlineLevel="1" collapsed="1"/>
    <col min="39" max="42" width="8.5703125" style="339" hidden="1" customWidth="1" outlineLevel="2"/>
    <col min="43" max="43" width="8.5703125" style="339" hidden="1" customWidth="1" outlineLevel="1" collapsed="1"/>
    <col min="44" max="47" width="8.5703125" style="339" hidden="1" customWidth="1" outlineLevel="2"/>
    <col min="48" max="48" width="8.5703125" style="339" hidden="1" customWidth="1" outlineLevel="1" collapsed="1"/>
    <col min="49" max="52" width="8.5703125" style="339" hidden="1" customWidth="1" outlineLevel="2"/>
    <col min="53" max="53" width="8.5703125" style="339" hidden="1" customWidth="1" outlineLevel="1" collapsed="1"/>
    <col min="54" max="57" width="8.5703125" style="339" hidden="1" customWidth="1" outlineLevel="2"/>
    <col min="58" max="58" width="8.5703125" style="339" hidden="1" customWidth="1" outlineLevel="1" collapsed="1"/>
    <col min="59" max="62" width="8.5703125" style="339" hidden="1" customWidth="1" outlineLevel="2"/>
    <col min="63" max="63" width="8.5703125" style="339" hidden="1" customWidth="1" outlineLevel="1" collapsed="1"/>
    <col min="64" max="67" width="8.5703125" style="339" hidden="1" customWidth="1" outlineLevel="2"/>
    <col min="68" max="68" width="8.5703125" style="339" hidden="1" customWidth="1" outlineLevel="1" collapsed="1"/>
    <col min="69" max="72" width="8.5703125" style="339" hidden="1" customWidth="1" outlineLevel="2"/>
    <col min="73" max="73" width="8.5703125" style="339" hidden="1" customWidth="1" outlineLevel="1" collapsed="1"/>
    <col min="74" max="77" width="8.5703125" style="339" hidden="1" customWidth="1" outlineLevel="2"/>
    <col min="78" max="78" width="8.5703125" style="339" hidden="1" customWidth="1" outlineLevel="1" collapsed="1"/>
    <col min="79" max="82" width="8.5703125" style="339" hidden="1" customWidth="1" outlineLevel="2"/>
    <col min="83" max="83" width="8.5703125" style="339" hidden="1" customWidth="1" outlineLevel="1" collapsed="1"/>
    <col min="84" max="87" width="8.5703125" style="339" hidden="1" customWidth="1" outlineLevel="2"/>
    <col min="88" max="88" width="8.5703125" style="339" hidden="1" customWidth="1" outlineLevel="1" collapsed="1"/>
    <col min="89" max="92" width="8.5703125" style="339" hidden="1" customWidth="1" outlineLevel="2"/>
    <col min="93" max="93" width="8.5703125" style="339" hidden="1" customWidth="1" outlineLevel="1" collapsed="1"/>
    <col min="94" max="97" width="8.5703125" style="339" hidden="1" customWidth="1" outlineLevel="2"/>
    <col min="98" max="98" width="8.5703125" style="339" hidden="1" customWidth="1" outlineLevel="1" collapsed="1"/>
    <col min="99" max="102" width="8.5703125" style="339" hidden="1" customWidth="1" outlineLevel="2"/>
    <col min="103" max="103" width="9.28515625" style="339" hidden="1" customWidth="1" outlineLevel="1" collapsed="1"/>
    <col min="104" max="107" width="9.28515625" style="339" hidden="1" customWidth="1" outlineLevel="2"/>
    <col min="108" max="108" width="9.28515625" style="339" hidden="1" customWidth="1" outlineLevel="1" collapsed="1"/>
    <col min="109" max="112" width="9.28515625" style="339" hidden="1" customWidth="1" outlineLevel="2"/>
    <col min="113" max="113" width="9.28515625" style="339" hidden="1" customWidth="1" outlineLevel="1" collapsed="1"/>
    <col min="114" max="117" width="9.28515625" style="339" hidden="1" customWidth="1" outlineLevel="2"/>
    <col min="118" max="118" width="9.28515625" style="339" hidden="1" customWidth="1" outlineLevel="1" collapsed="1"/>
    <col min="119" max="122" width="9.28515625" style="339" hidden="1" customWidth="1" outlineLevel="2"/>
    <col min="123" max="123" width="9.28515625" style="339" hidden="1" customWidth="1" outlineLevel="1" collapsed="1"/>
    <col min="124" max="127" width="9.28515625" style="339" hidden="1" customWidth="1" outlineLevel="1"/>
    <col min="128" max="128" width="9.28515625" style="339" customWidth="1" collapsed="1"/>
    <col min="129" max="132" width="9.28515625" style="339" customWidth="1" outlineLevel="1"/>
    <col min="133" max="133" width="9.28515625" style="339" customWidth="1"/>
    <col min="134" max="137" width="9.28515625" style="339" hidden="1" customWidth="1" outlineLevel="1"/>
    <col min="138" max="138" width="9.28515625" style="339" customWidth="1" collapsed="1"/>
    <col min="139" max="142" width="9.28515625" style="339" hidden="1" customWidth="1" outlineLevel="1"/>
    <col min="143" max="143" width="9.28515625" style="339" collapsed="1"/>
    <col min="144" max="147" width="9.28515625" style="339" hidden="1" customWidth="1" outlineLevel="1"/>
    <col min="148" max="148" width="9.28515625" style="339" collapsed="1"/>
    <col min="149" max="152" width="9.28515625" style="339" hidden="1" customWidth="1" outlineLevel="1"/>
    <col min="153" max="153" width="9.28515625" style="339" customWidth="1" collapsed="1"/>
    <col min="154" max="157" width="9.28515625" style="339" customWidth="1"/>
    <col min="158" max="158" width="9.28515625" style="339" hidden="1" customWidth="1" outlineLevel="1" collapsed="1"/>
    <col min="159" max="162" width="9.28515625" style="339" hidden="1" customWidth="1" outlineLevel="2"/>
    <col min="163" max="163" width="9.28515625" style="339" hidden="1" customWidth="1" outlineLevel="1" collapsed="1"/>
    <col min="164" max="167" width="9.28515625" style="339" hidden="1" customWidth="1" outlineLevel="2"/>
    <col min="168" max="168" width="9.28515625" style="339" hidden="1" customWidth="1" outlineLevel="1" collapsed="1"/>
    <col min="169" max="172" width="9.28515625" style="339" hidden="1" customWidth="1" outlineLevel="1"/>
    <col min="173" max="173" width="9.28515625" style="339" hidden="1" customWidth="1" outlineLevel="1" collapsed="1"/>
    <col min="174" max="177" width="9.28515625" style="339" hidden="1" customWidth="1" outlineLevel="1"/>
    <col min="178" max="178" width="9.28515625" style="339" collapsed="1"/>
    <col min="179" max="16384" width="9.28515625" style="339"/>
  </cols>
  <sheetData>
    <row r="1" spans="2:179">
      <c r="B1" s="800"/>
    </row>
    <row r="2" spans="2:179" ht="15.75">
      <c r="B2" s="400" t="str">
        <f>names!$A743</f>
        <v>Produkcja wolumenowa</v>
      </c>
    </row>
    <row r="3" spans="2:179" ht="9" customHeight="1"/>
    <row r="4" spans="2:179" ht="29.25" customHeight="1">
      <c r="B4" s="338" t="str">
        <f>names!$A745</f>
        <v>Produkcja
tys. ton</v>
      </c>
      <c r="C4" s="1016" t="str">
        <f>names!$A392</f>
        <v>I kw.
2019*</v>
      </c>
      <c r="D4" s="1017" t="str">
        <f>names!$A394</f>
        <v>II kw.
2019*</v>
      </c>
      <c r="E4" s="1017" t="str">
        <f>names!$A396</f>
        <v>III kw.
2019*</v>
      </c>
      <c r="F4" s="1017" t="str">
        <f>names!$A398</f>
        <v>IV kw.
2019*</v>
      </c>
      <c r="G4" s="1018" t="str">
        <f>names!$A400</f>
        <v>12 m-cy
2019*</v>
      </c>
      <c r="H4" s="1016" t="str">
        <f>names!$A394</f>
        <v>II kw.
2019*</v>
      </c>
      <c r="I4" s="1017" t="str">
        <f>names!$A394</f>
        <v>II kw.
2019*</v>
      </c>
      <c r="J4" s="1017" t="str">
        <f>names!$A396</f>
        <v>III kw.
2019*</v>
      </c>
      <c r="K4" s="1017" t="str">
        <f>names!$A398</f>
        <v>IV kw.
2019*</v>
      </c>
      <c r="L4" s="1018" t="str">
        <f>names!$A400</f>
        <v>12 m-cy
2019*</v>
      </c>
      <c r="M4" s="1016" t="str">
        <f>names!$A396</f>
        <v>III kw.
2019*</v>
      </c>
      <c r="N4" s="1017" t="str">
        <f>names!$A394</f>
        <v>II kw.
2019*</v>
      </c>
      <c r="O4" s="1017" t="str">
        <f>names!$A396</f>
        <v>III kw.
2019*</v>
      </c>
      <c r="P4" s="1017" t="str">
        <f>names!$A398</f>
        <v>IV kw.
2019*</v>
      </c>
      <c r="Q4" s="1018" t="str">
        <f>names!$A400</f>
        <v>12 m-cy
2019*</v>
      </c>
      <c r="R4" s="1016" t="str">
        <f>names!$A398</f>
        <v>IV kw.
2019*</v>
      </c>
      <c r="S4" s="1017" t="str">
        <f>names!$A394</f>
        <v>II kw.
2019*</v>
      </c>
      <c r="T4" s="1017" t="str">
        <f>names!$A396</f>
        <v>III kw.
2019*</v>
      </c>
      <c r="U4" s="1017" t="str">
        <f>names!$A398</f>
        <v>IV kw.
2019*</v>
      </c>
      <c r="V4" s="1018" t="str">
        <f>names!$A400</f>
        <v>12 m-cy
2019*</v>
      </c>
      <c r="W4" s="1016" t="str">
        <f>names!$A400</f>
        <v>12 m-cy
2019*</v>
      </c>
      <c r="X4" s="1017" t="str">
        <f>names!$A394</f>
        <v>II kw.
2019*</v>
      </c>
      <c r="Y4" s="1017" t="str">
        <f>names!$A396</f>
        <v>III kw.
2019*</v>
      </c>
      <c r="Z4" s="1017" t="str">
        <f>names!$A398</f>
        <v>IV kw.
2019*</v>
      </c>
      <c r="AA4" s="1018" t="str">
        <f>names!$A400</f>
        <v>12 m-cy
2019*</v>
      </c>
      <c r="AB4" s="1016" t="str">
        <f>names!$A402</f>
        <v>I kw.
2020*</v>
      </c>
      <c r="AC4" s="1017" t="str">
        <f>names!$A394</f>
        <v>II kw.
2019*</v>
      </c>
      <c r="AD4" s="1017" t="str">
        <f>names!$A396</f>
        <v>III kw.
2019*</v>
      </c>
      <c r="AE4" s="1017" t="str">
        <f>names!$A398</f>
        <v>IV kw.
2019*</v>
      </c>
      <c r="AF4" s="1018" t="str">
        <f>names!$A400</f>
        <v>12 m-cy
2019*</v>
      </c>
      <c r="AG4" s="1016" t="str">
        <f>names!$A404</f>
        <v>II kw.
2020</v>
      </c>
      <c r="AH4" s="1017" t="str">
        <f>names!$A404</f>
        <v>II kw.
2020</v>
      </c>
      <c r="AI4" s="1017" t="str">
        <f>names!$A404</f>
        <v>II kw.
2020</v>
      </c>
      <c r="AJ4" s="1017" t="str">
        <f>names!$A404</f>
        <v>II kw.
2020</v>
      </c>
      <c r="AK4" s="1018" t="str">
        <f>names!$A404</f>
        <v>II kw.
2020</v>
      </c>
      <c r="AL4" s="1016" t="str">
        <f>names!$A406</f>
        <v>III kw.
2020</v>
      </c>
      <c r="AM4" s="1017" t="str">
        <f>names!$A404</f>
        <v>II kw.
2020</v>
      </c>
      <c r="AN4" s="1017" t="str">
        <f>names!$A404</f>
        <v>II kw.
2020</v>
      </c>
      <c r="AO4" s="1017" t="str">
        <f>names!$A404</f>
        <v>II kw.
2020</v>
      </c>
      <c r="AP4" s="1018" t="str">
        <f>names!$A404</f>
        <v>II kw.
2020</v>
      </c>
      <c r="AQ4" s="1016" t="str">
        <f>names!$A408</f>
        <v>IV kw.
2020</v>
      </c>
      <c r="AR4" s="1017" t="str">
        <f>names!$A404</f>
        <v>II kw.
2020</v>
      </c>
      <c r="AS4" s="1017" t="str">
        <f>names!$A404</f>
        <v>II kw.
2020</v>
      </c>
      <c r="AT4" s="1017" t="str">
        <f>names!$A404</f>
        <v>II kw.
2020</v>
      </c>
      <c r="AU4" s="1018" t="str">
        <f>names!$A404</f>
        <v>II kw.
2020</v>
      </c>
      <c r="AV4" s="1016" t="str">
        <f>names!$A796</f>
        <v>Rok 2020</v>
      </c>
      <c r="AW4" s="1017"/>
      <c r="AX4" s="1017"/>
      <c r="AY4" s="1017"/>
      <c r="AZ4" s="1018"/>
      <c r="BA4" s="1016" t="str">
        <f>names!$A154</f>
        <v>I kw. 
2021</v>
      </c>
      <c r="BB4" s="1017" t="str">
        <f>names!$B154</f>
        <v>I kw. 
2021</v>
      </c>
      <c r="BC4" s="1017" t="str">
        <f>names!$B154</f>
        <v>I kw. 
2021</v>
      </c>
      <c r="BD4" s="1017" t="str">
        <f>names!$B154</f>
        <v>I kw. 
2021</v>
      </c>
      <c r="BE4" s="1018" t="str">
        <f>names!$B154</f>
        <v>I kw. 
2021</v>
      </c>
      <c r="BF4" s="1016" t="str">
        <f>names!$A155</f>
        <v>II kw. 
2021</v>
      </c>
      <c r="BG4" s="1017" t="str">
        <f>names!$B154</f>
        <v>I kw. 
2021</v>
      </c>
      <c r="BH4" s="1017" t="str">
        <f>names!$B154</f>
        <v>I kw. 
2021</v>
      </c>
      <c r="BI4" s="1017" t="str">
        <f>names!$B154</f>
        <v>I kw. 
2021</v>
      </c>
      <c r="BJ4" s="1018" t="str">
        <f>names!$B154</f>
        <v>I kw. 
2021</v>
      </c>
      <c r="BK4" s="1016" t="str">
        <f>names!$A156</f>
        <v>III kw. 
2021</v>
      </c>
      <c r="BL4" s="1017" t="str">
        <f>names!$B154</f>
        <v>I kw. 
2021</v>
      </c>
      <c r="BM4" s="1017" t="str">
        <f>names!$B154</f>
        <v>I kw. 
2021</v>
      </c>
      <c r="BN4" s="1017" t="str">
        <f>names!$B154</f>
        <v>I kw. 
2021</v>
      </c>
      <c r="BO4" s="1018" t="str">
        <f>names!$B154</f>
        <v>I kw. 
2021</v>
      </c>
      <c r="BP4" s="1016" t="str">
        <f>names!$A157</f>
        <v>IV kw. 
2021</v>
      </c>
      <c r="BQ4" s="1017" t="str">
        <f>names!$B154</f>
        <v>I kw. 
2021</v>
      </c>
      <c r="BR4" s="1017" t="str">
        <f>names!$B154</f>
        <v>I kw. 
2021</v>
      </c>
      <c r="BS4" s="1017" t="str">
        <f>names!$B154</f>
        <v>I kw. 
2021</v>
      </c>
      <c r="BT4" s="1018" t="str">
        <f>names!$B154</f>
        <v>I kw. 
2021</v>
      </c>
      <c r="BU4" s="1016" t="str">
        <f>names!$A797</f>
        <v>Rok 2021</v>
      </c>
      <c r="BV4" s="1017"/>
      <c r="BW4" s="1017"/>
      <c r="BX4" s="1017"/>
      <c r="BY4" s="1018"/>
      <c r="BZ4" s="1016" t="str">
        <f>names!$A159</f>
        <v>I kw. 
2022</v>
      </c>
      <c r="CA4" s="1017" t="str">
        <f>names!$B154</f>
        <v>I kw. 
2021</v>
      </c>
      <c r="CB4" s="1017" t="str">
        <f>names!$B154</f>
        <v>I kw. 
2021</v>
      </c>
      <c r="CC4" s="1017" t="str">
        <f>names!$B154</f>
        <v>I kw. 
2021</v>
      </c>
      <c r="CD4" s="1018" t="str">
        <f>names!$B154</f>
        <v>I kw. 
2021</v>
      </c>
      <c r="CE4" s="1016" t="str">
        <f>names!$A160</f>
        <v>II kw. 
2022</v>
      </c>
      <c r="CF4" s="1017" t="str">
        <f>names!$B154</f>
        <v>I kw. 
2021</v>
      </c>
      <c r="CG4" s="1017" t="str">
        <f>names!$B154</f>
        <v>I kw. 
2021</v>
      </c>
      <c r="CH4" s="1017" t="str">
        <f>names!$B154</f>
        <v>I kw. 
2021</v>
      </c>
      <c r="CI4" s="1018" t="str">
        <f>names!$B154</f>
        <v>I kw. 
2021</v>
      </c>
      <c r="CJ4" s="1016" t="str">
        <f>names!$A161</f>
        <v>III kw. 
2022</v>
      </c>
      <c r="CK4" s="1017" t="str">
        <f>names!$B154</f>
        <v>I kw. 
2021</v>
      </c>
      <c r="CL4" s="1017" t="str">
        <f>names!$B154</f>
        <v>I kw. 
2021</v>
      </c>
      <c r="CM4" s="1017" t="str">
        <f>names!$B154</f>
        <v>I kw. 
2021</v>
      </c>
      <c r="CN4" s="1018" t="str">
        <f>names!$B154</f>
        <v>I kw. 
2021</v>
      </c>
      <c r="CO4" s="1016" t="str">
        <f>names!$A162</f>
        <v>IV kw. 
2022</v>
      </c>
      <c r="CP4" s="1017" t="str">
        <f>names!$B154</f>
        <v>I kw. 
2021</v>
      </c>
      <c r="CQ4" s="1017" t="str">
        <f>names!$B154</f>
        <v>I kw. 
2021</v>
      </c>
      <c r="CR4" s="1017" t="str">
        <f>names!$B154</f>
        <v>I kw. 
2021</v>
      </c>
      <c r="CS4" s="1018" t="str">
        <f>names!$B154</f>
        <v>I kw. 
2021</v>
      </c>
      <c r="CT4" s="1016" t="str">
        <f>names!$A798</f>
        <v>Rok 2022</v>
      </c>
      <c r="CU4" s="1017"/>
      <c r="CV4" s="1017"/>
      <c r="CW4" s="1017"/>
      <c r="CX4" s="1018"/>
      <c r="CY4" s="1016" t="str">
        <f>names!$A164</f>
        <v>I kw. 
2023</v>
      </c>
      <c r="CZ4" s="1017" t="str">
        <f>names!$B154</f>
        <v>I kw. 
2021</v>
      </c>
      <c r="DA4" s="1017" t="str">
        <f>names!$B154</f>
        <v>I kw. 
2021</v>
      </c>
      <c r="DB4" s="1017" t="str">
        <f>names!$B154</f>
        <v>I kw. 
2021</v>
      </c>
      <c r="DC4" s="1018" t="str">
        <f>names!$B154</f>
        <v>I kw. 
2021</v>
      </c>
      <c r="DD4" s="1016" t="str">
        <f>names!$A165</f>
        <v>II kw. 
2023</v>
      </c>
      <c r="DE4" s="1017" t="str">
        <f>names!$B154</f>
        <v>I kw. 
2021</v>
      </c>
      <c r="DF4" s="1017" t="str">
        <f>names!$B154</f>
        <v>I kw. 
2021</v>
      </c>
      <c r="DG4" s="1017" t="str">
        <f>names!$B154</f>
        <v>I kw. 
2021</v>
      </c>
      <c r="DH4" s="1018" t="str">
        <f>names!$B154</f>
        <v>I kw. 
2021</v>
      </c>
      <c r="DI4" s="1016" t="str">
        <f>names!$A166</f>
        <v>III kw. 
2023</v>
      </c>
      <c r="DJ4" s="1017" t="str">
        <f>names!$B154</f>
        <v>I kw. 
2021</v>
      </c>
      <c r="DK4" s="1017" t="str">
        <f>names!$B154</f>
        <v>I kw. 
2021</v>
      </c>
      <c r="DL4" s="1017" t="str">
        <f>names!$B154</f>
        <v>I kw. 
2021</v>
      </c>
      <c r="DM4" s="1018" t="str">
        <f>names!$B154</f>
        <v>I kw. 
2021</v>
      </c>
      <c r="DN4" s="1016" t="str">
        <f>names!$A167</f>
        <v>IV kw. 
2023</v>
      </c>
      <c r="DO4" s="1017" t="str">
        <f>names!$B154</f>
        <v>I kw. 
2021</v>
      </c>
      <c r="DP4" s="1017" t="str">
        <f>names!$B154</f>
        <v>I kw. 
2021</v>
      </c>
      <c r="DQ4" s="1017" t="str">
        <f>names!$B154</f>
        <v>I kw. 
2021</v>
      </c>
      <c r="DR4" s="1018" t="str">
        <f>names!$B154</f>
        <v>I kw. 
2021</v>
      </c>
      <c r="DS4" s="1016" t="str">
        <f>names!$A799</f>
        <v>Rok 2023</v>
      </c>
      <c r="DT4" s="1017"/>
      <c r="DU4" s="1017"/>
      <c r="DV4" s="1017"/>
      <c r="DW4" s="1018"/>
      <c r="DX4" s="1016" t="str">
        <f>names!$A169</f>
        <v>I kw. 
2024</v>
      </c>
      <c r="DY4" s="1017" t="str">
        <f>names!$B154</f>
        <v>I kw. 
2021</v>
      </c>
      <c r="DZ4" s="1017" t="str">
        <f>names!$B154</f>
        <v>I kw. 
2021</v>
      </c>
      <c r="EA4" s="1017" t="str">
        <f>names!$B154</f>
        <v>I kw. 
2021</v>
      </c>
      <c r="EB4" s="1018" t="str">
        <f>names!$B154</f>
        <v>I kw. 
2021</v>
      </c>
      <c r="EC4" s="1016" t="str">
        <f>names!$A170</f>
        <v>II kw. 
2024</v>
      </c>
      <c r="ED4" s="1017" t="str">
        <f>names!$B154</f>
        <v>I kw. 
2021</v>
      </c>
      <c r="EE4" s="1017" t="str">
        <f>names!$B154</f>
        <v>I kw. 
2021</v>
      </c>
      <c r="EF4" s="1017" t="str">
        <f>names!$B154</f>
        <v>I kw. 
2021</v>
      </c>
      <c r="EG4" s="1018" t="str">
        <f>names!$B154</f>
        <v>I kw. 
2021</v>
      </c>
      <c r="EH4" s="1016" t="str">
        <f>names!$A171</f>
        <v>III kw. 
2024</v>
      </c>
      <c r="EI4" s="1017" t="str">
        <f>names!$B154</f>
        <v>I kw. 
2021</v>
      </c>
      <c r="EJ4" s="1017" t="str">
        <f>names!$B154</f>
        <v>I kw. 
2021</v>
      </c>
      <c r="EK4" s="1017" t="str">
        <f>names!$B154</f>
        <v>I kw. 
2021</v>
      </c>
      <c r="EL4" s="1018" t="str">
        <f>names!$B154</f>
        <v>I kw. 
2021</v>
      </c>
      <c r="EM4" s="1016" t="str">
        <f>names!$A172</f>
        <v>IV kw. 
2024</v>
      </c>
      <c r="EN4" s="1017" t="str">
        <f>names!$B154</f>
        <v>I kw. 
2021</v>
      </c>
      <c r="EO4" s="1017" t="str">
        <f>names!$B154</f>
        <v>I kw. 
2021</v>
      </c>
      <c r="EP4" s="1017" t="str">
        <f>names!$B154</f>
        <v>I kw. 
2021</v>
      </c>
      <c r="EQ4" s="1018" t="str">
        <f>names!$B154</f>
        <v>I kw. 
2021</v>
      </c>
      <c r="ER4" s="1016" t="str">
        <f>names!$A800</f>
        <v>Rok 2024</v>
      </c>
      <c r="ES4" s="1017"/>
      <c r="ET4" s="1017"/>
      <c r="EU4" s="1017"/>
      <c r="EV4" s="1018"/>
      <c r="EW4" s="1016" t="str">
        <f>names!$A174</f>
        <v>I kw. 
2025</v>
      </c>
      <c r="EX4" s="1017" t="str">
        <f>names!$B154</f>
        <v>I kw. 
2021</v>
      </c>
      <c r="EY4" s="1017" t="str">
        <f>names!$B154</f>
        <v>I kw. 
2021</v>
      </c>
      <c r="EZ4" s="1017" t="str">
        <f>names!$B154</f>
        <v>I kw. 
2021</v>
      </c>
      <c r="FA4" s="1018" t="str">
        <f>names!$B154</f>
        <v>I kw. 
2021</v>
      </c>
      <c r="FB4" s="1016" t="str">
        <f>names!$A175</f>
        <v>II kw. 
2025</v>
      </c>
      <c r="FC4" s="1017" t="str">
        <f>names!$B154</f>
        <v>I kw. 
2021</v>
      </c>
      <c r="FD4" s="1017" t="str">
        <f>names!$B154</f>
        <v>I kw. 
2021</v>
      </c>
      <c r="FE4" s="1017" t="str">
        <f>names!$B154</f>
        <v>I kw. 
2021</v>
      </c>
      <c r="FF4" s="1018" t="str">
        <f>names!$B154</f>
        <v>I kw. 
2021</v>
      </c>
      <c r="FG4" s="1016" t="str">
        <f>names!$A176</f>
        <v>III kw. 
2025</v>
      </c>
      <c r="FH4" s="1017" t="str">
        <f>names!$B154</f>
        <v>I kw. 
2021</v>
      </c>
      <c r="FI4" s="1017" t="str">
        <f>names!$B154</f>
        <v>I kw. 
2021</v>
      </c>
      <c r="FJ4" s="1017" t="str">
        <f>names!$B154</f>
        <v>I kw. 
2021</v>
      </c>
      <c r="FK4" s="1018" t="str">
        <f>names!$B154</f>
        <v>I kw. 
2021</v>
      </c>
      <c r="FL4" s="1016" t="str">
        <f>names!$A177</f>
        <v>IV kw. 
2025</v>
      </c>
      <c r="FM4" s="1017" t="str">
        <f>names!$B154</f>
        <v>I kw. 
2021</v>
      </c>
      <c r="FN4" s="1017" t="str">
        <f>names!$B154</f>
        <v>I kw. 
2021</v>
      </c>
      <c r="FO4" s="1017" t="str">
        <f>names!$B154</f>
        <v>I kw. 
2021</v>
      </c>
      <c r="FP4" s="1018" t="str">
        <f>names!$B154</f>
        <v>I kw. 
2021</v>
      </c>
      <c r="FQ4" s="1016" t="str">
        <f>names!$A801</f>
        <v>Rok 2025</v>
      </c>
      <c r="FR4" s="1017"/>
      <c r="FS4" s="1017"/>
      <c r="FT4" s="1017"/>
      <c r="FU4" s="1018"/>
    </row>
    <row r="5" spans="2:179" ht="15.75" thickBot="1">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DS5" s="340"/>
      <c r="DT5" s="340"/>
      <c r="DU5" s="340"/>
      <c r="DV5" s="340"/>
      <c r="DW5" s="340"/>
      <c r="DY5" s="723"/>
      <c r="ER5" s="340"/>
      <c r="ES5" s="340"/>
      <c r="ET5" s="340"/>
      <c r="EU5" s="340"/>
      <c r="EV5" s="340"/>
      <c r="EX5" s="723"/>
      <c r="FQ5" s="340"/>
      <c r="FR5" s="340"/>
      <c r="FS5" s="340"/>
      <c r="FT5" s="340"/>
      <c r="FU5" s="340"/>
    </row>
    <row r="6" spans="2:179" ht="36" customHeight="1" thickBot="1">
      <c r="B6" s="341"/>
      <c r="C6" s="342" t="str">
        <f>names!$A790</f>
        <v>GK 
ORLEN</v>
      </c>
      <c r="D6" s="343" t="str">
        <f>names!$A791</f>
        <v>ORLEN 
S.A.</v>
      </c>
      <c r="E6" s="343" t="str">
        <f>names!$A792</f>
        <v>Grupa 
Unipetrol</v>
      </c>
      <c r="F6" s="343" t="str">
        <f>names!$A793</f>
        <v>ORLEN 
Lietuva</v>
      </c>
      <c r="G6" s="343" t="str">
        <f>names!$A794</f>
        <v>Grupa 
Anwil</v>
      </c>
      <c r="H6" s="342" t="str">
        <f>C6</f>
        <v>GK 
ORLEN</v>
      </c>
      <c r="I6" s="343" t="str">
        <f>$D$6</f>
        <v>ORLEN 
S.A.</v>
      </c>
      <c r="J6" s="343" t="str">
        <f>$E$6</f>
        <v>Grupa 
Unipetrol</v>
      </c>
      <c r="K6" s="343" t="str">
        <f>$F$6</f>
        <v>ORLEN 
Lietuva</v>
      </c>
      <c r="L6" s="343" t="str">
        <f>$G$6</f>
        <v>Grupa 
Anwil</v>
      </c>
      <c r="M6" s="342" t="str">
        <f>H6</f>
        <v>GK 
ORLEN</v>
      </c>
      <c r="N6" s="343" t="str">
        <f>$D$6</f>
        <v>ORLEN 
S.A.</v>
      </c>
      <c r="O6" s="343" t="str">
        <f>$E$6</f>
        <v>Grupa 
Unipetrol</v>
      </c>
      <c r="P6" s="343" t="str">
        <f>$F$6</f>
        <v>ORLEN 
Lietuva</v>
      </c>
      <c r="Q6" s="343" t="str">
        <f>$G$6</f>
        <v>Grupa 
Anwil</v>
      </c>
      <c r="R6" s="342" t="str">
        <f>M6</f>
        <v>GK 
ORLEN</v>
      </c>
      <c r="S6" s="343" t="str">
        <f>$D$6</f>
        <v>ORLEN 
S.A.</v>
      </c>
      <c r="T6" s="343" t="str">
        <f>$E$6</f>
        <v>Grupa 
Unipetrol</v>
      </c>
      <c r="U6" s="343" t="str">
        <f>$F$6</f>
        <v>ORLEN 
Lietuva</v>
      </c>
      <c r="V6" s="343" t="str">
        <f>$G$6</f>
        <v>Grupa 
Anwil</v>
      </c>
      <c r="W6" s="342" t="str">
        <f>R6</f>
        <v>GK 
ORLEN</v>
      </c>
      <c r="X6" s="343" t="str">
        <f>$D$6</f>
        <v>ORLEN 
S.A.</v>
      </c>
      <c r="Y6" s="343" t="str">
        <f>$E$6</f>
        <v>Grupa 
Unipetrol</v>
      </c>
      <c r="Z6" s="343" t="str">
        <f>$F$6</f>
        <v>ORLEN 
Lietuva</v>
      </c>
      <c r="AA6" s="343" t="str">
        <f>$G$6</f>
        <v>Grupa 
Anwil</v>
      </c>
      <c r="AB6" s="342" t="str">
        <f>W6</f>
        <v>GK 
ORLEN</v>
      </c>
      <c r="AC6" s="343" t="str">
        <f>$D$6</f>
        <v>ORLEN 
S.A.</v>
      </c>
      <c r="AD6" s="343" t="str">
        <f>$E$6</f>
        <v>Grupa 
Unipetrol</v>
      </c>
      <c r="AE6" s="343" t="str">
        <f>$F$6</f>
        <v>ORLEN 
Lietuva</v>
      </c>
      <c r="AF6" s="343" t="str">
        <f>$G$6</f>
        <v>Grupa 
Anwil</v>
      </c>
      <c r="AG6" s="342" t="str">
        <f>AB6</f>
        <v>GK 
ORLEN</v>
      </c>
      <c r="AH6" s="343" t="str">
        <f>$D$6</f>
        <v>ORLEN 
S.A.</v>
      </c>
      <c r="AI6" s="343" t="str">
        <f>$E$6</f>
        <v>Grupa 
Unipetrol</v>
      </c>
      <c r="AJ6" s="343" t="str">
        <f>$F$6</f>
        <v>ORLEN 
Lietuva</v>
      </c>
      <c r="AK6" s="343" t="str">
        <f>$G$6</f>
        <v>Grupa 
Anwil</v>
      </c>
      <c r="AL6" s="342" t="str">
        <f>AG6</f>
        <v>GK 
ORLEN</v>
      </c>
      <c r="AM6" s="343" t="str">
        <f>$D$6</f>
        <v>ORLEN 
S.A.</v>
      </c>
      <c r="AN6" s="343" t="str">
        <f>$E$6</f>
        <v>Grupa 
Unipetrol</v>
      </c>
      <c r="AO6" s="343" t="str">
        <f>$F$6</f>
        <v>ORLEN 
Lietuva</v>
      </c>
      <c r="AP6" s="343" t="str">
        <f>$G$6</f>
        <v>Grupa 
Anwil</v>
      </c>
      <c r="AQ6" s="342" t="str">
        <f>AL6</f>
        <v>GK 
ORLEN</v>
      </c>
      <c r="AR6" s="343" t="str">
        <f>$D$6</f>
        <v>ORLEN 
S.A.</v>
      </c>
      <c r="AS6" s="343" t="str">
        <f>$E$6</f>
        <v>Grupa 
Unipetrol</v>
      </c>
      <c r="AT6" s="343" t="str">
        <f>$F$6</f>
        <v>ORLEN 
Lietuva</v>
      </c>
      <c r="AU6" s="343" t="str">
        <f>$G$6</f>
        <v>Grupa 
Anwil</v>
      </c>
      <c r="AV6" s="342" t="str">
        <f>AQ6</f>
        <v>GK 
ORLEN</v>
      </c>
      <c r="AW6" s="343" t="str">
        <f>$D$6</f>
        <v>ORLEN 
S.A.</v>
      </c>
      <c r="AX6" s="343" t="str">
        <f>$E$6</f>
        <v>Grupa 
Unipetrol</v>
      </c>
      <c r="AY6" s="343" t="str">
        <f>$F$6</f>
        <v>ORLEN 
Lietuva</v>
      </c>
      <c r="AZ6" s="343" t="str">
        <f>$G$6</f>
        <v>Grupa 
Anwil</v>
      </c>
      <c r="BA6" s="342" t="str">
        <f>AV6</f>
        <v>GK 
ORLEN</v>
      </c>
      <c r="BB6" s="343" t="str">
        <f>$D$6</f>
        <v>ORLEN 
S.A.</v>
      </c>
      <c r="BC6" s="343" t="str">
        <f>$E$6</f>
        <v>Grupa 
Unipetrol</v>
      </c>
      <c r="BD6" s="343" t="str">
        <f>$F$6</f>
        <v>ORLEN 
Lietuva</v>
      </c>
      <c r="BE6" s="343" t="str">
        <f>$G$6</f>
        <v>Grupa 
Anwil</v>
      </c>
      <c r="BF6" s="342" t="str">
        <f>BA6</f>
        <v>GK 
ORLEN</v>
      </c>
      <c r="BG6" s="343" t="str">
        <f>$D$6</f>
        <v>ORLEN 
S.A.</v>
      </c>
      <c r="BH6" s="343" t="str">
        <f>$E$6</f>
        <v>Grupa 
Unipetrol</v>
      </c>
      <c r="BI6" s="343" t="str">
        <f>$F$6</f>
        <v>ORLEN 
Lietuva</v>
      </c>
      <c r="BJ6" s="343" t="str">
        <f>$G$6</f>
        <v>Grupa 
Anwil</v>
      </c>
      <c r="BK6" s="342" t="str">
        <f>BF6</f>
        <v>GK 
ORLEN</v>
      </c>
      <c r="BL6" s="343" t="str">
        <f>$D$6</f>
        <v>ORLEN 
S.A.</v>
      </c>
      <c r="BM6" s="343" t="str">
        <f>$E$6</f>
        <v>Grupa 
Unipetrol</v>
      </c>
      <c r="BN6" s="343" t="str">
        <f>$F$6</f>
        <v>ORLEN 
Lietuva</v>
      </c>
      <c r="BO6" s="343" t="str">
        <f>$G$6</f>
        <v>Grupa 
Anwil</v>
      </c>
      <c r="BP6" s="342" t="str">
        <f>BK6</f>
        <v>GK 
ORLEN</v>
      </c>
      <c r="BQ6" s="343" t="str">
        <f>$D$6</f>
        <v>ORLEN 
S.A.</v>
      </c>
      <c r="BR6" s="343" t="str">
        <f>$E$6</f>
        <v>Grupa 
Unipetrol</v>
      </c>
      <c r="BS6" s="343" t="str">
        <f>$F$6</f>
        <v>ORLEN 
Lietuva</v>
      </c>
      <c r="BT6" s="343" t="str">
        <f>$G$6</f>
        <v>Grupa 
Anwil</v>
      </c>
      <c r="BU6" s="342" t="str">
        <f>BP6</f>
        <v>GK 
ORLEN</v>
      </c>
      <c r="BV6" s="343" t="str">
        <f>$D$6</f>
        <v>ORLEN 
S.A.</v>
      </c>
      <c r="BW6" s="343" t="str">
        <f>$E$6</f>
        <v>Grupa 
Unipetrol</v>
      </c>
      <c r="BX6" s="343" t="str">
        <f>$F$6</f>
        <v>ORLEN 
Lietuva</v>
      </c>
      <c r="BY6" s="343" t="str">
        <f>$G$6</f>
        <v>Grupa 
Anwil</v>
      </c>
      <c r="BZ6" s="342" t="str">
        <f>BU6</f>
        <v>GK 
ORLEN</v>
      </c>
      <c r="CA6" s="343" t="str">
        <f>$D$6</f>
        <v>ORLEN 
S.A.</v>
      </c>
      <c r="CB6" s="343" t="str">
        <f>$E$6</f>
        <v>Grupa 
Unipetrol</v>
      </c>
      <c r="CC6" s="343" t="str">
        <f>$F$6</f>
        <v>ORLEN 
Lietuva</v>
      </c>
      <c r="CD6" s="343" t="str">
        <f>$G$6</f>
        <v>Grupa 
Anwil</v>
      </c>
      <c r="CE6" s="342" t="str">
        <f>BZ6</f>
        <v>GK 
ORLEN</v>
      </c>
      <c r="CF6" s="343" t="str">
        <f>$D$6</f>
        <v>ORLEN 
S.A.</v>
      </c>
      <c r="CG6" s="343" t="str">
        <f>$E$6</f>
        <v>Grupa 
Unipetrol</v>
      </c>
      <c r="CH6" s="343" t="str">
        <f>$F$6</f>
        <v>ORLEN 
Lietuva</v>
      </c>
      <c r="CI6" s="343" t="str">
        <f>$G$6</f>
        <v>Grupa 
Anwil</v>
      </c>
      <c r="CJ6" s="342" t="s">
        <v>243</v>
      </c>
      <c r="CK6" s="343" t="s">
        <v>244</v>
      </c>
      <c r="CL6" s="343" t="s">
        <v>245</v>
      </c>
      <c r="CM6" s="343" t="s">
        <v>246</v>
      </c>
      <c r="CN6" s="343" t="s">
        <v>247</v>
      </c>
      <c r="CO6" s="342" t="str">
        <f>CJ6</f>
        <v>GK 
ORLEN</v>
      </c>
      <c r="CP6" s="343" t="str">
        <f>$D$6</f>
        <v>ORLEN 
S.A.</v>
      </c>
      <c r="CQ6" s="343" t="str">
        <f>$E$6</f>
        <v>Grupa 
Unipetrol</v>
      </c>
      <c r="CR6" s="343" t="str">
        <f>$F$6</f>
        <v>ORLEN 
Lietuva</v>
      </c>
      <c r="CS6" s="343" t="str">
        <f>$G$6</f>
        <v>Grupa 
Anwil</v>
      </c>
      <c r="CT6" s="342" t="str">
        <f>CO6</f>
        <v>GK 
ORLEN</v>
      </c>
      <c r="CU6" s="343" t="str">
        <f>$D$6</f>
        <v>ORLEN 
S.A.</v>
      </c>
      <c r="CV6" s="343" t="str">
        <f>$E$6</f>
        <v>Grupa 
Unipetrol</v>
      </c>
      <c r="CW6" s="343" t="str">
        <f>$F$6</f>
        <v>ORLEN 
Lietuva</v>
      </c>
      <c r="CX6" s="343" t="str">
        <f>$G$6</f>
        <v>Grupa 
Anwil</v>
      </c>
      <c r="CY6" s="342" t="str">
        <f>CT6</f>
        <v>GK 
ORLEN</v>
      </c>
      <c r="CZ6" s="343" t="str">
        <f>$D$6</f>
        <v>ORLEN 
S.A.</v>
      </c>
      <c r="DA6" s="343" t="str">
        <f>$E$6</f>
        <v>Grupa 
Unipetrol</v>
      </c>
      <c r="DB6" s="343" t="str">
        <f>$F$6</f>
        <v>ORLEN 
Lietuva</v>
      </c>
      <c r="DC6" s="343" t="str">
        <f>$G$6</f>
        <v>Grupa 
Anwil</v>
      </c>
      <c r="DD6" s="342" t="str">
        <f>CY6</f>
        <v>GK 
ORLEN</v>
      </c>
      <c r="DE6" s="343" t="str">
        <f>names!$A795</f>
        <v xml:space="preserve">ORLEN S.A. </v>
      </c>
      <c r="DF6" s="343" t="str">
        <f>$E$6</f>
        <v>Grupa 
Unipetrol</v>
      </c>
      <c r="DG6" s="343" t="str">
        <f>$F$6</f>
        <v>ORLEN 
Lietuva</v>
      </c>
      <c r="DH6" s="343" t="str">
        <f>$G$6</f>
        <v>Grupa 
Anwil</v>
      </c>
      <c r="DI6" s="342" t="str">
        <f>$DD$6</f>
        <v>GK 
ORLEN</v>
      </c>
      <c r="DJ6" s="343" t="str">
        <f>$DE$6</f>
        <v xml:space="preserve">ORLEN S.A. </v>
      </c>
      <c r="DK6" s="343" t="str">
        <f>$DF$6</f>
        <v>Grupa 
Unipetrol</v>
      </c>
      <c r="DL6" s="343" t="str">
        <f>$DG$6</f>
        <v>ORLEN 
Lietuva</v>
      </c>
      <c r="DM6" s="343" t="str">
        <f>$DH$6</f>
        <v>Grupa 
Anwil</v>
      </c>
      <c r="DN6" s="342" t="str">
        <f>$DD$6</f>
        <v>GK 
ORLEN</v>
      </c>
      <c r="DO6" s="343" t="str">
        <f>$DE$6</f>
        <v xml:space="preserve">ORLEN S.A. </v>
      </c>
      <c r="DP6" s="343" t="str">
        <f>$DF$6</f>
        <v>Grupa 
Unipetrol</v>
      </c>
      <c r="DQ6" s="343" t="str">
        <f>$DG$6</f>
        <v>ORLEN 
Lietuva</v>
      </c>
      <c r="DR6" s="343" t="str">
        <f>$DH$6</f>
        <v>Grupa 
Anwil</v>
      </c>
      <c r="DS6" s="342" t="str">
        <f>$DD$6</f>
        <v>GK 
ORLEN</v>
      </c>
      <c r="DT6" s="343" t="str">
        <f>$DE$6</f>
        <v xml:space="preserve">ORLEN S.A. </v>
      </c>
      <c r="DU6" s="343" t="str">
        <f>$DF$6</f>
        <v>Grupa 
Unipetrol</v>
      </c>
      <c r="DV6" s="343" t="str">
        <f>$DG$6</f>
        <v>ORLEN 
Lietuva</v>
      </c>
      <c r="DW6" s="343" t="str">
        <f>$DH$6</f>
        <v>Grupa 
Anwil</v>
      </c>
      <c r="DX6" s="342" t="str">
        <f>DS6</f>
        <v>GK 
ORLEN</v>
      </c>
      <c r="DY6" s="343" t="str">
        <f>$DE$6</f>
        <v xml:space="preserve">ORLEN S.A. </v>
      </c>
      <c r="DZ6" s="343" t="str">
        <f>$E$6</f>
        <v>Grupa 
Unipetrol</v>
      </c>
      <c r="EA6" s="343" t="str">
        <f>$F$6</f>
        <v>ORLEN 
Lietuva</v>
      </c>
      <c r="EB6" s="343" t="str">
        <f>$G$6</f>
        <v>Grupa 
Anwil</v>
      </c>
      <c r="EC6" s="342" t="str">
        <f>DX6</f>
        <v>GK 
ORLEN</v>
      </c>
      <c r="ED6" s="343" t="str">
        <f>$DE$6</f>
        <v xml:space="preserve">ORLEN S.A. </v>
      </c>
      <c r="EE6" s="343" t="str">
        <f>$E$6</f>
        <v>Grupa 
Unipetrol</v>
      </c>
      <c r="EF6" s="343" t="str">
        <f>$F$6</f>
        <v>ORLEN 
Lietuva</v>
      </c>
      <c r="EG6" s="343" t="str">
        <f>$G$6</f>
        <v>Grupa 
Anwil</v>
      </c>
      <c r="EH6" s="342" t="str">
        <f>EC6</f>
        <v>GK 
ORLEN</v>
      </c>
      <c r="EI6" s="343" t="str">
        <f>$DE$6</f>
        <v xml:space="preserve">ORLEN S.A. </v>
      </c>
      <c r="EJ6" s="343" t="str">
        <f>$E$6</f>
        <v>Grupa 
Unipetrol</v>
      </c>
      <c r="EK6" s="343" t="str">
        <f>$F$6</f>
        <v>ORLEN 
Lietuva</v>
      </c>
      <c r="EL6" s="343" t="str">
        <f>$G$6</f>
        <v>Grupa 
Anwil</v>
      </c>
      <c r="EM6" s="342" t="str">
        <f>$DD$6</f>
        <v>GK 
ORLEN</v>
      </c>
      <c r="EN6" s="343" t="str">
        <f>$DE$6</f>
        <v xml:space="preserve">ORLEN S.A. </v>
      </c>
      <c r="EO6" s="343" t="str">
        <f>$DF$6</f>
        <v>Grupa 
Unipetrol</v>
      </c>
      <c r="EP6" s="343" t="str">
        <f>$DG$6</f>
        <v>ORLEN 
Lietuva</v>
      </c>
      <c r="EQ6" s="343" t="str">
        <f>$DH$6</f>
        <v>Grupa 
Anwil</v>
      </c>
      <c r="ER6" s="342" t="str">
        <f>$DD$6</f>
        <v>GK 
ORLEN</v>
      </c>
      <c r="ES6" s="343" t="str">
        <f>$DE$6</f>
        <v xml:space="preserve">ORLEN S.A. </v>
      </c>
      <c r="ET6" s="343" t="str">
        <f>$DF$6</f>
        <v>Grupa 
Unipetrol</v>
      </c>
      <c r="EU6" s="343" t="str">
        <f>$DG$6</f>
        <v>ORLEN 
Lietuva</v>
      </c>
      <c r="EV6" s="343" t="str">
        <f>$DH$6</f>
        <v>Grupa 
Anwil</v>
      </c>
      <c r="EW6" s="342" t="str">
        <f>ER6</f>
        <v>GK 
ORLEN</v>
      </c>
      <c r="EX6" s="343" t="str">
        <f>$DE$6</f>
        <v xml:space="preserve">ORLEN S.A. </v>
      </c>
      <c r="EY6" s="343" t="str">
        <f>$E$6</f>
        <v>Grupa 
Unipetrol</v>
      </c>
      <c r="EZ6" s="343" t="str">
        <f>$F$6</f>
        <v>ORLEN 
Lietuva</v>
      </c>
      <c r="FA6" s="343" t="str">
        <f>$G$6</f>
        <v>Grupa 
Anwil</v>
      </c>
      <c r="FB6" s="342" t="str">
        <f>EW6</f>
        <v>GK 
ORLEN</v>
      </c>
      <c r="FC6" s="343" t="str">
        <f>$DE$6</f>
        <v xml:space="preserve">ORLEN S.A. </v>
      </c>
      <c r="FD6" s="343" t="str">
        <f>$E$6</f>
        <v>Grupa 
Unipetrol</v>
      </c>
      <c r="FE6" s="343" t="str">
        <f>$F$6</f>
        <v>ORLEN 
Lietuva</v>
      </c>
      <c r="FF6" s="343" t="str">
        <f>$G$6</f>
        <v>Grupa 
Anwil</v>
      </c>
      <c r="FG6" s="342" t="str">
        <f>FB6</f>
        <v>GK 
ORLEN</v>
      </c>
      <c r="FH6" s="343" t="str">
        <f>$DE$6</f>
        <v xml:space="preserve">ORLEN S.A. </v>
      </c>
      <c r="FI6" s="343" t="str">
        <f>$E$6</f>
        <v>Grupa 
Unipetrol</v>
      </c>
      <c r="FJ6" s="343" t="str">
        <f>$F$6</f>
        <v>ORLEN 
Lietuva</v>
      </c>
      <c r="FK6" s="343" t="str">
        <f>$G$6</f>
        <v>Grupa 
Anwil</v>
      </c>
      <c r="FL6" s="342" t="str">
        <f>$DD$6</f>
        <v>GK 
ORLEN</v>
      </c>
      <c r="FM6" s="343" t="str">
        <f>$DE$6</f>
        <v xml:space="preserve">ORLEN S.A. </v>
      </c>
      <c r="FN6" s="343" t="str">
        <f>$DF$6</f>
        <v>Grupa 
Unipetrol</v>
      </c>
      <c r="FO6" s="343" t="str">
        <f>$DG$6</f>
        <v>ORLEN 
Lietuva</v>
      </c>
      <c r="FP6" s="343" t="str">
        <f>$DH$6</f>
        <v>Grupa 
Anwil</v>
      </c>
      <c r="FQ6" s="342" t="str">
        <f>$DD$6</f>
        <v>GK 
ORLEN</v>
      </c>
      <c r="FR6" s="343" t="str">
        <f>$DE$6</f>
        <v xml:space="preserve">ORLEN S.A. </v>
      </c>
      <c r="FS6" s="343" t="str">
        <f>$DF$6</f>
        <v>Grupa 
Unipetrol</v>
      </c>
      <c r="FT6" s="343" t="str">
        <f>$DG$6</f>
        <v>ORLEN 
Lietuva</v>
      </c>
      <c r="FU6" s="343" t="str">
        <f>$DH$6</f>
        <v>Grupa 
Anwil</v>
      </c>
      <c r="FV6" s="526"/>
    </row>
    <row r="7" spans="2:179" ht="9.75" customHeight="1" thickBot="1">
      <c r="B7" s="344"/>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X7" s="345"/>
      <c r="DY7" s="345"/>
      <c r="DZ7" s="345"/>
      <c r="EA7" s="345"/>
      <c r="EB7" s="345"/>
      <c r="EC7" s="345"/>
      <c r="ED7" s="345"/>
      <c r="EE7" s="345"/>
      <c r="EF7" s="345"/>
      <c r="EG7" s="345"/>
      <c r="EH7" s="345"/>
      <c r="EI7" s="345"/>
      <c r="EJ7" s="345"/>
      <c r="EK7" s="345"/>
      <c r="EL7" s="345"/>
      <c r="EM7" s="345"/>
      <c r="EN7" s="345"/>
      <c r="EO7" s="345"/>
      <c r="EP7" s="345"/>
      <c r="EQ7" s="345"/>
      <c r="EW7" s="345"/>
      <c r="EX7" s="345"/>
      <c r="EY7" s="345"/>
      <c r="EZ7" s="345"/>
      <c r="FA7" s="345"/>
      <c r="FB7" s="345"/>
      <c r="FC7" s="345"/>
      <c r="FD7" s="345"/>
      <c r="FE7" s="345"/>
      <c r="FF7" s="345"/>
      <c r="FG7" s="345"/>
      <c r="FH7" s="345"/>
      <c r="FI7" s="345"/>
      <c r="FJ7" s="345"/>
      <c r="FK7" s="345"/>
      <c r="FL7" s="345"/>
      <c r="FM7" s="345"/>
      <c r="FN7" s="345"/>
      <c r="FO7" s="345"/>
      <c r="FP7" s="345"/>
    </row>
    <row r="8" spans="2:179" ht="15.75" thickBot="1">
      <c r="B8" s="346" t="str">
        <f>names!$A749</f>
        <v>Przerób ropy</v>
      </c>
      <c r="C8" s="349">
        <v>8225</v>
      </c>
      <c r="D8" s="349">
        <v>4075</v>
      </c>
      <c r="E8" s="349">
        <v>1847</v>
      </c>
      <c r="F8" s="349">
        <v>2223</v>
      </c>
      <c r="G8" s="349" t="s">
        <v>249</v>
      </c>
      <c r="H8" s="349">
        <v>8289</v>
      </c>
      <c r="I8" s="349">
        <v>3940</v>
      </c>
      <c r="J8" s="349">
        <v>1883</v>
      </c>
      <c r="K8" s="349">
        <v>2410</v>
      </c>
      <c r="L8" s="349" t="s">
        <v>249</v>
      </c>
      <c r="M8" s="349">
        <v>9013</v>
      </c>
      <c r="N8" s="349">
        <v>4196</v>
      </c>
      <c r="O8" s="349">
        <v>2133</v>
      </c>
      <c r="P8" s="349">
        <v>2597</v>
      </c>
      <c r="Q8" s="349" t="s">
        <v>249</v>
      </c>
      <c r="R8" s="349">
        <v>8352</v>
      </c>
      <c r="S8" s="349">
        <v>3996</v>
      </c>
      <c r="T8" s="349">
        <v>1991</v>
      </c>
      <c r="U8" s="349">
        <v>2285</v>
      </c>
      <c r="V8" s="349" t="s">
        <v>249</v>
      </c>
      <c r="W8" s="361">
        <f>C8+H8+M8+R8</f>
        <v>33879</v>
      </c>
      <c r="X8" s="349">
        <f>D8+I8+N8+S8</f>
        <v>16207</v>
      </c>
      <c r="Y8" s="349">
        <f>E8+J8+O8+T8</f>
        <v>7854</v>
      </c>
      <c r="Z8" s="349">
        <f>F8+K8+P8+U8</f>
        <v>9515</v>
      </c>
      <c r="AA8" s="349" t="s">
        <v>249</v>
      </c>
      <c r="AB8" s="349">
        <v>7683</v>
      </c>
      <c r="AC8" s="349">
        <v>3926</v>
      </c>
      <c r="AD8" s="349">
        <v>1646</v>
      </c>
      <c r="AE8" s="349">
        <v>2028</v>
      </c>
      <c r="AF8" s="349" t="s">
        <v>249</v>
      </c>
      <c r="AG8" s="349">
        <v>6192</v>
      </c>
      <c r="AH8" s="349">
        <v>3505</v>
      </c>
      <c r="AI8" s="349">
        <v>777</v>
      </c>
      <c r="AJ8" s="349">
        <v>1839</v>
      </c>
      <c r="AK8" s="349" t="s">
        <v>249</v>
      </c>
      <c r="AL8" s="349">
        <v>8219</v>
      </c>
      <c r="AM8" s="349">
        <v>4204</v>
      </c>
      <c r="AN8" s="349">
        <v>1914</v>
      </c>
      <c r="AO8" s="349">
        <v>2065</v>
      </c>
      <c r="AP8" s="349" t="s">
        <v>249</v>
      </c>
      <c r="AQ8" s="349">
        <v>7391</v>
      </c>
      <c r="AR8" s="349">
        <v>3671</v>
      </c>
      <c r="AS8" s="349">
        <v>1739</v>
      </c>
      <c r="AT8" s="349">
        <v>1915</v>
      </c>
      <c r="AU8" s="349" t="s">
        <v>249</v>
      </c>
      <c r="AV8" s="361">
        <f>AB8+AG8+AL8+AQ8</f>
        <v>29485</v>
      </c>
      <c r="AW8" s="349">
        <f>AC8+AH8+AM8+AR8</f>
        <v>15306</v>
      </c>
      <c r="AX8" s="349">
        <f>AD8+AI8+AN8+AS8</f>
        <v>6076</v>
      </c>
      <c r="AY8" s="349">
        <f>AE8+AJ8+AO8+AT8</f>
        <v>7847</v>
      </c>
      <c r="AZ8" s="349" t="s">
        <v>249</v>
      </c>
      <c r="BA8" s="349">
        <v>6237</v>
      </c>
      <c r="BB8" s="349">
        <v>3040</v>
      </c>
      <c r="BC8" s="349">
        <v>1640</v>
      </c>
      <c r="BD8" s="349">
        <v>1472</v>
      </c>
      <c r="BE8" s="349" t="s">
        <v>249</v>
      </c>
      <c r="BF8" s="349">
        <v>6810</v>
      </c>
      <c r="BG8" s="349">
        <v>3286</v>
      </c>
      <c r="BH8" s="349">
        <v>1615</v>
      </c>
      <c r="BI8" s="349">
        <v>1827</v>
      </c>
      <c r="BJ8" s="349" t="s">
        <v>249</v>
      </c>
      <c r="BK8" s="349">
        <v>8319</v>
      </c>
      <c r="BL8" s="349">
        <v>4139</v>
      </c>
      <c r="BM8" s="349">
        <v>1935</v>
      </c>
      <c r="BN8" s="349">
        <v>2185</v>
      </c>
      <c r="BO8" s="349" t="s">
        <v>249</v>
      </c>
      <c r="BP8" s="349">
        <v>8553</v>
      </c>
      <c r="BQ8" s="349">
        <v>4064</v>
      </c>
      <c r="BR8" s="349">
        <v>1933</v>
      </c>
      <c r="BS8" s="349">
        <v>2470</v>
      </c>
      <c r="BT8" s="349" t="s">
        <v>249</v>
      </c>
      <c r="BU8" s="361">
        <f>BA8+BF8+BK8+BP8</f>
        <v>29919</v>
      </c>
      <c r="BV8" s="349">
        <f>BB8+BG8+BL8+BQ8</f>
        <v>14529</v>
      </c>
      <c r="BW8" s="349">
        <f>BC8+BH8+BM8+BR8</f>
        <v>7123</v>
      </c>
      <c r="BX8" s="349">
        <f>BD8+BI8+BN8+BS8</f>
        <v>7954</v>
      </c>
      <c r="BY8" s="349" t="s">
        <v>249</v>
      </c>
      <c r="BZ8" s="349">
        <v>8162</v>
      </c>
      <c r="CA8" s="349">
        <v>4106</v>
      </c>
      <c r="CB8" s="349">
        <v>1703</v>
      </c>
      <c r="CC8" s="349">
        <v>2263</v>
      </c>
      <c r="CD8" s="349" t="s">
        <v>249</v>
      </c>
      <c r="CE8" s="349">
        <v>7245</v>
      </c>
      <c r="CF8" s="349">
        <v>4331</v>
      </c>
      <c r="CG8" s="349">
        <v>1670</v>
      </c>
      <c r="CH8" s="349">
        <v>1163</v>
      </c>
      <c r="CI8" s="349" t="s">
        <v>249</v>
      </c>
      <c r="CJ8" s="349">
        <v>10449</v>
      </c>
      <c r="CK8" s="349">
        <v>5990</v>
      </c>
      <c r="CL8" s="349">
        <v>2040</v>
      </c>
      <c r="CM8" s="349">
        <v>2350</v>
      </c>
      <c r="CN8" s="349" t="s">
        <v>249</v>
      </c>
      <c r="CO8" s="349">
        <v>11234</v>
      </c>
      <c r="CP8" s="349">
        <v>6629</v>
      </c>
      <c r="CQ8" s="349">
        <v>2054</v>
      </c>
      <c r="CR8" s="349">
        <v>2465</v>
      </c>
      <c r="CS8" s="349" t="s">
        <v>249</v>
      </c>
      <c r="CT8" s="361">
        <f>BZ8+CE8+CJ8+CO8</f>
        <v>37090</v>
      </c>
      <c r="CU8" s="349">
        <f>CA8+CF8+CK8+CP8</f>
        <v>21056</v>
      </c>
      <c r="CV8" s="349">
        <f>CB8+CG8+CL8+CQ8</f>
        <v>7467</v>
      </c>
      <c r="CW8" s="349">
        <f>CC8+CH8+CM8+CR8</f>
        <v>8241</v>
      </c>
      <c r="CX8" s="349" t="s">
        <v>249</v>
      </c>
      <c r="CY8" s="349">
        <v>9474</v>
      </c>
      <c r="CZ8" s="349">
        <v>5476</v>
      </c>
      <c r="DA8" s="349">
        <v>1782</v>
      </c>
      <c r="DB8" s="349">
        <v>2131</v>
      </c>
      <c r="DC8" s="349" t="s">
        <v>249</v>
      </c>
      <c r="DD8" s="349">
        <v>9535</v>
      </c>
      <c r="DE8" s="349">
        <v>5289</v>
      </c>
      <c r="DF8" s="349">
        <v>1879</v>
      </c>
      <c r="DG8" s="349">
        <v>2275</v>
      </c>
      <c r="DH8" s="349" t="s">
        <v>249</v>
      </c>
      <c r="DI8" s="349">
        <v>10048</v>
      </c>
      <c r="DJ8" s="349">
        <v>5538</v>
      </c>
      <c r="DK8" s="349">
        <v>2000</v>
      </c>
      <c r="DL8" s="349">
        <v>2445</v>
      </c>
      <c r="DM8" s="349" t="s">
        <v>249</v>
      </c>
      <c r="DN8" s="349">
        <v>9472</v>
      </c>
      <c r="DO8" s="349">
        <v>5296</v>
      </c>
      <c r="DP8" s="349">
        <v>1839</v>
      </c>
      <c r="DQ8" s="349">
        <v>2245</v>
      </c>
      <c r="DR8" s="349" t="s">
        <v>249</v>
      </c>
      <c r="DS8" s="361">
        <f>CY8+DD8+DI8+DN8</f>
        <v>38529</v>
      </c>
      <c r="DT8" s="349">
        <f>CZ8+DE8+DJ8+DO8</f>
        <v>21599</v>
      </c>
      <c r="DU8" s="349">
        <f>DA8+DF8+DK8+DP8</f>
        <v>7500</v>
      </c>
      <c r="DV8" s="349">
        <f>DB8+DG8+DL8+DQ8</f>
        <v>9096</v>
      </c>
      <c r="DW8" s="349" t="s">
        <v>249</v>
      </c>
      <c r="DX8" s="349">
        <v>9549</v>
      </c>
      <c r="DY8" s="349">
        <v>5595</v>
      </c>
      <c r="DZ8" s="349">
        <v>1836</v>
      </c>
      <c r="EA8" s="349">
        <v>2035</v>
      </c>
      <c r="EB8" s="349" t="s">
        <v>249</v>
      </c>
      <c r="EC8" s="349">
        <v>9355.5899160000008</v>
      </c>
      <c r="ED8" s="349">
        <v>5637.3012690000014</v>
      </c>
      <c r="EE8" s="349">
        <v>1075.6277809999999</v>
      </c>
      <c r="EF8" s="349">
        <v>2551.6608659999997</v>
      </c>
      <c r="EG8" s="349" t="s">
        <v>249</v>
      </c>
      <c r="EH8" s="349">
        <v>10052</v>
      </c>
      <c r="EI8" s="349">
        <v>5882</v>
      </c>
      <c r="EJ8" s="349">
        <v>1667</v>
      </c>
      <c r="EK8" s="349">
        <v>2445</v>
      </c>
      <c r="EL8" s="349" t="s">
        <v>249</v>
      </c>
      <c r="EM8" s="538">
        <v>9551</v>
      </c>
      <c r="EN8" s="538">
        <v>5659</v>
      </c>
      <c r="EO8" s="538">
        <v>1998</v>
      </c>
      <c r="EP8" s="538">
        <v>1814</v>
      </c>
      <c r="EQ8" s="538" t="s">
        <v>249</v>
      </c>
      <c r="ER8" s="361">
        <f>DX8+EC8+EH8+EM8</f>
        <v>38507.589915999997</v>
      </c>
      <c r="ES8" s="349">
        <f>DY8+ED8+EI8+EN8</f>
        <v>22773.301269000003</v>
      </c>
      <c r="ET8" s="349">
        <f>DZ8+EE8+EJ8+EO8</f>
        <v>6576.6277810000001</v>
      </c>
      <c r="EU8" s="349">
        <f>EA8+EF8+EK8+EP8</f>
        <v>8845.6608660000002</v>
      </c>
      <c r="EV8" s="349" t="s">
        <v>249</v>
      </c>
      <c r="EW8" s="349">
        <v>9235</v>
      </c>
      <c r="EX8" s="349">
        <v>5116</v>
      </c>
      <c r="EY8" s="349">
        <v>1654</v>
      </c>
      <c r="EZ8" s="349">
        <v>2374</v>
      </c>
      <c r="FA8" s="349" t="s">
        <v>249</v>
      </c>
      <c r="FB8" s="349"/>
      <c r="FC8" s="349"/>
      <c r="FD8" s="349"/>
      <c r="FE8" s="349"/>
      <c r="FF8" s="349"/>
      <c r="FG8" s="349"/>
      <c r="FH8" s="349"/>
      <c r="FI8" s="349"/>
      <c r="FJ8" s="349"/>
      <c r="FK8" s="349"/>
      <c r="FL8" s="349"/>
      <c r="FM8" s="349"/>
      <c r="FN8" s="349"/>
      <c r="FO8" s="349"/>
      <c r="FP8" s="349"/>
      <c r="FQ8" s="361">
        <f>EW8+FB8+FG8+FL8</f>
        <v>9235</v>
      </c>
      <c r="FR8" s="349">
        <f>EX8+FC8+FH8+FM8</f>
        <v>5116</v>
      </c>
      <c r="FS8" s="349">
        <f>EY8+FD8+FI8+FN8</f>
        <v>1654</v>
      </c>
      <c r="FT8" s="349">
        <f>EZ8+FE8+FJ8+FO8</f>
        <v>2374</v>
      </c>
      <c r="FU8" s="349" t="s">
        <v>249</v>
      </c>
    </row>
    <row r="9" spans="2:179" ht="15.75" thickBot="1">
      <c r="B9" s="346"/>
      <c r="C9" s="349"/>
      <c r="D9" s="349"/>
      <c r="E9" s="349"/>
      <c r="F9" s="349"/>
      <c r="G9" s="349"/>
      <c r="H9" s="349"/>
      <c r="I9" s="349"/>
      <c r="J9" s="349"/>
      <c r="K9" s="349"/>
      <c r="L9" s="349"/>
      <c r="M9" s="349"/>
      <c r="N9" s="349"/>
      <c r="O9" s="349"/>
      <c r="P9" s="349"/>
      <c r="Q9" s="349"/>
      <c r="R9" s="349"/>
      <c r="S9" s="349"/>
      <c r="T9" s="349"/>
      <c r="U9" s="349"/>
      <c r="V9" s="349"/>
      <c r="W9" s="361"/>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61"/>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61"/>
      <c r="BV9" s="349"/>
      <c r="BW9" s="349"/>
      <c r="BX9" s="349"/>
      <c r="BY9" s="349"/>
      <c r="BZ9" s="349"/>
      <c r="CA9" s="349"/>
      <c r="CB9" s="349"/>
      <c r="CC9" s="349"/>
      <c r="CD9" s="349"/>
      <c r="CE9" s="349"/>
      <c r="CF9" s="349"/>
      <c r="CG9" s="349"/>
      <c r="CH9" s="349"/>
      <c r="CI9" s="349"/>
      <c r="CJ9" s="349"/>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49"/>
      <c r="DI9" s="349"/>
      <c r="DJ9" s="349"/>
      <c r="DK9" s="349"/>
      <c r="DL9" s="349"/>
      <c r="DM9" s="349"/>
      <c r="DN9" s="349"/>
      <c r="DO9" s="349"/>
      <c r="DP9" s="349"/>
      <c r="DQ9" s="349"/>
      <c r="DR9" s="349"/>
      <c r="DS9" s="349"/>
      <c r="DT9" s="349"/>
      <c r="DU9" s="349"/>
      <c r="DV9" s="349"/>
      <c r="DW9" s="349"/>
      <c r="DX9" s="349"/>
      <c r="DY9" s="349"/>
      <c r="DZ9" s="349"/>
      <c r="EA9" s="349"/>
      <c r="EB9" s="349"/>
      <c r="EC9" s="349"/>
      <c r="ED9" s="349"/>
      <c r="EE9" s="349"/>
      <c r="EF9" s="349"/>
      <c r="EG9" s="349"/>
      <c r="EH9" s="349"/>
      <c r="EI9" s="349"/>
      <c r="EJ9" s="349"/>
      <c r="EK9" s="349"/>
      <c r="EL9" s="349"/>
      <c r="EM9" s="538"/>
      <c r="EN9" s="538"/>
      <c r="EO9" s="538"/>
      <c r="EP9" s="538"/>
      <c r="EQ9" s="538"/>
      <c r="ER9" s="349"/>
      <c r="ES9" s="349"/>
      <c r="ET9" s="349"/>
      <c r="EU9" s="349"/>
      <c r="EV9" s="349"/>
      <c r="EW9" s="349"/>
      <c r="EX9" s="349"/>
      <c r="EY9" s="349"/>
      <c r="EZ9" s="349"/>
      <c r="FA9" s="349"/>
      <c r="FB9" s="349"/>
      <c r="FC9" s="349"/>
      <c r="FD9" s="349"/>
      <c r="FE9" s="349"/>
      <c r="FF9" s="349"/>
      <c r="FG9" s="349"/>
      <c r="FH9" s="349"/>
      <c r="FI9" s="349"/>
      <c r="FJ9" s="349"/>
      <c r="FK9" s="349"/>
      <c r="FL9" s="349"/>
      <c r="FM9" s="349"/>
      <c r="FN9" s="349"/>
      <c r="FO9" s="349"/>
      <c r="FP9" s="349"/>
      <c r="FQ9" s="349"/>
      <c r="FR9" s="349"/>
      <c r="FS9" s="349"/>
      <c r="FT9" s="349"/>
      <c r="FU9" s="349"/>
    </row>
    <row r="10" spans="2:179" ht="15.75" thickBot="1">
      <c r="B10" s="346" t="str">
        <f>names!$A2137</f>
        <v>Downstream, w tym:</v>
      </c>
      <c r="C10" s="349"/>
      <c r="D10" s="349"/>
      <c r="E10" s="349"/>
      <c r="F10" s="349"/>
      <c r="G10" s="349"/>
      <c r="H10" s="349"/>
      <c r="I10" s="349"/>
      <c r="J10" s="349"/>
      <c r="K10" s="349"/>
      <c r="L10" s="349"/>
      <c r="M10" s="349"/>
      <c r="N10" s="349"/>
      <c r="O10" s="349"/>
      <c r="P10" s="349"/>
      <c r="Q10" s="349"/>
      <c r="R10" s="349"/>
      <c r="S10" s="349"/>
      <c r="T10" s="349"/>
      <c r="U10" s="349"/>
      <c r="V10" s="349"/>
      <c r="W10" s="361"/>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61"/>
      <c r="AW10" s="349"/>
      <c r="AX10" s="349"/>
      <c r="AY10" s="349"/>
      <c r="AZ10" s="349"/>
      <c r="BA10" s="349"/>
      <c r="BB10" s="349"/>
      <c r="BC10" s="349"/>
      <c r="BD10" s="349"/>
      <c r="BE10" s="349"/>
      <c r="BF10" s="349"/>
      <c r="BG10" s="349"/>
      <c r="BH10" s="349"/>
      <c r="BI10" s="349"/>
      <c r="BJ10" s="349"/>
      <c r="BK10" s="349"/>
      <c r="BL10" s="349"/>
      <c r="BM10" s="349"/>
      <c r="BN10" s="349"/>
      <c r="BO10" s="349"/>
      <c r="BP10" s="349"/>
      <c r="BQ10" s="349"/>
      <c r="BR10" s="349"/>
      <c r="BS10" s="349"/>
      <c r="BT10" s="349"/>
      <c r="BU10" s="361"/>
      <c r="BV10" s="349"/>
      <c r="BW10" s="349"/>
      <c r="BX10" s="349"/>
      <c r="BY10" s="349"/>
      <c r="BZ10" s="349"/>
      <c r="CA10" s="349"/>
      <c r="CB10" s="349"/>
      <c r="CC10" s="349"/>
      <c r="CD10" s="349"/>
      <c r="CE10" s="349"/>
      <c r="CF10" s="349"/>
      <c r="CG10" s="349"/>
      <c r="CH10" s="349"/>
      <c r="CI10" s="349"/>
      <c r="CJ10" s="349"/>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349"/>
      <c r="DI10" s="349"/>
      <c r="DJ10" s="349"/>
      <c r="DK10" s="349"/>
      <c r="DL10" s="349"/>
      <c r="DM10" s="349"/>
      <c r="DN10" s="349"/>
      <c r="DO10" s="349"/>
      <c r="DP10" s="349"/>
      <c r="DQ10" s="349"/>
      <c r="DR10" s="349"/>
      <c r="DS10" s="349"/>
      <c r="DT10" s="349"/>
      <c r="DU10" s="349"/>
      <c r="DV10" s="349"/>
      <c r="DW10" s="349"/>
      <c r="DX10" s="349">
        <f>DX11+DX25</f>
        <v>10137</v>
      </c>
      <c r="DY10" s="349">
        <f>DY11+DY25</f>
        <v>5829</v>
      </c>
      <c r="DZ10" s="349">
        <f>DZ11+DZ25</f>
        <v>2050</v>
      </c>
      <c r="EA10" s="349">
        <f>EA11+EA25</f>
        <v>1933</v>
      </c>
      <c r="EB10" s="349">
        <f>EB11+EB25</f>
        <v>411</v>
      </c>
      <c r="EC10" s="349">
        <f t="shared" ref="EC10:FQ10" si="0">EC11+EC25</f>
        <v>10042</v>
      </c>
      <c r="ED10" s="349">
        <f t="shared" si="0"/>
        <v>5904</v>
      </c>
      <c r="EE10" s="349">
        <f t="shared" si="0"/>
        <v>1300</v>
      </c>
      <c r="EF10" s="349">
        <f t="shared" si="0"/>
        <v>2455</v>
      </c>
      <c r="EG10" s="349" t="e">
        <f t="shared" si="0"/>
        <v>#VALUE!</v>
      </c>
      <c r="EH10" s="349">
        <f t="shared" si="0"/>
        <v>10899</v>
      </c>
      <c r="EI10" s="349">
        <f t="shared" si="0"/>
        <v>6400</v>
      </c>
      <c r="EJ10" s="349">
        <f t="shared" si="0"/>
        <v>1874</v>
      </c>
      <c r="EK10" s="349">
        <f t="shared" si="0"/>
        <v>2304</v>
      </c>
      <c r="EL10" s="349" t="e">
        <f t="shared" si="0"/>
        <v>#VALUE!</v>
      </c>
      <c r="EM10" s="538">
        <f t="shared" si="0"/>
        <v>10121</v>
      </c>
      <c r="EN10" s="538">
        <f t="shared" si="0"/>
        <v>5920</v>
      </c>
      <c r="EO10" s="538">
        <f t="shared" si="0"/>
        <v>2185</v>
      </c>
      <c r="EP10" s="538">
        <f t="shared" si="0"/>
        <v>1754</v>
      </c>
      <c r="EQ10" s="538">
        <f>EQ11+EQ25</f>
        <v>386</v>
      </c>
      <c r="ER10" s="361">
        <f t="shared" si="0"/>
        <v>41178</v>
      </c>
      <c r="ES10" s="349">
        <f t="shared" si="0"/>
        <v>23971</v>
      </c>
      <c r="ET10" s="349">
        <f t="shared" si="0"/>
        <v>7409</v>
      </c>
      <c r="EU10" s="349">
        <f t="shared" si="0"/>
        <v>8446</v>
      </c>
      <c r="EV10" s="349">
        <f>EV11+EV25</f>
        <v>1632</v>
      </c>
      <c r="EW10" s="349">
        <f t="shared" si="0"/>
        <v>9303</v>
      </c>
      <c r="EX10" s="349">
        <f t="shared" si="0"/>
        <v>4964</v>
      </c>
      <c r="EY10" s="349">
        <f t="shared" si="0"/>
        <v>1782</v>
      </c>
      <c r="EZ10" s="349">
        <f t="shared" si="0"/>
        <v>2236</v>
      </c>
      <c r="FA10" s="349">
        <f>FA11+FA25</f>
        <v>312</v>
      </c>
      <c r="FB10" s="349">
        <f t="shared" si="0"/>
        <v>0</v>
      </c>
      <c r="FC10" s="349">
        <f t="shared" si="0"/>
        <v>0</v>
      </c>
      <c r="FD10" s="349">
        <f t="shared" si="0"/>
        <v>0</v>
      </c>
      <c r="FE10" s="349">
        <f t="shared" si="0"/>
        <v>0</v>
      </c>
      <c r="FF10" s="349" t="e">
        <f t="shared" si="0"/>
        <v>#VALUE!</v>
      </c>
      <c r="FG10" s="349">
        <f t="shared" si="0"/>
        <v>0</v>
      </c>
      <c r="FH10" s="349">
        <f t="shared" si="0"/>
        <v>0</v>
      </c>
      <c r="FI10" s="349">
        <f t="shared" si="0"/>
        <v>0</v>
      </c>
      <c r="FJ10" s="349">
        <f t="shared" si="0"/>
        <v>0</v>
      </c>
      <c r="FK10" s="349" t="e">
        <f t="shared" si="0"/>
        <v>#VALUE!</v>
      </c>
      <c r="FL10" s="349">
        <f t="shared" si="0"/>
        <v>0</v>
      </c>
      <c r="FM10" s="349">
        <f t="shared" si="0"/>
        <v>0</v>
      </c>
      <c r="FN10" s="349">
        <f t="shared" si="0"/>
        <v>0</v>
      </c>
      <c r="FO10" s="349">
        <f t="shared" si="0"/>
        <v>0</v>
      </c>
      <c r="FP10" s="349" t="e">
        <f t="shared" si="0"/>
        <v>#VALUE!</v>
      </c>
      <c r="FQ10" s="361">
        <f t="shared" si="0"/>
        <v>9295</v>
      </c>
      <c r="FR10" s="349"/>
      <c r="FS10" s="349"/>
      <c r="FT10" s="349"/>
      <c r="FU10" s="349"/>
      <c r="FW10" s="800"/>
    </row>
    <row r="11" spans="2:179" ht="15.75" thickBot="1">
      <c r="B11" s="804" t="str">
        <f>names!$A751</f>
        <v>Produkcja rafineryjna</v>
      </c>
      <c r="C11" s="538">
        <f>SUM(C12,C15,C19,C23)</f>
        <v>6982</v>
      </c>
      <c r="D11" s="538">
        <f t="shared" ref="D11:BN11" si="1">SUM(D12,D15,D19,D23)</f>
        <v>3298</v>
      </c>
      <c r="E11" s="538">
        <f t="shared" si="1"/>
        <v>1485</v>
      </c>
      <c r="F11" s="538">
        <f t="shared" si="1"/>
        <v>2079</v>
      </c>
      <c r="G11" s="538" t="s">
        <v>249</v>
      </c>
      <c r="H11" s="538">
        <f t="shared" si="1"/>
        <v>7422</v>
      </c>
      <c r="I11" s="538">
        <f t="shared" si="1"/>
        <v>3389</v>
      </c>
      <c r="J11" s="538">
        <f t="shared" si="1"/>
        <v>1582</v>
      </c>
      <c r="K11" s="538">
        <f t="shared" si="1"/>
        <v>2349</v>
      </c>
      <c r="L11" s="538" t="s">
        <v>249</v>
      </c>
      <c r="M11" s="538">
        <f t="shared" si="1"/>
        <v>7898</v>
      </c>
      <c r="N11" s="538">
        <f t="shared" si="1"/>
        <v>3504</v>
      </c>
      <c r="O11" s="538">
        <f t="shared" si="1"/>
        <v>1811</v>
      </c>
      <c r="P11" s="538">
        <f t="shared" si="1"/>
        <v>2472</v>
      </c>
      <c r="Q11" s="538" t="s">
        <v>249</v>
      </c>
      <c r="R11" s="538">
        <f t="shared" si="1"/>
        <v>7476</v>
      </c>
      <c r="S11" s="538">
        <f t="shared" si="1"/>
        <v>3477</v>
      </c>
      <c r="T11" s="538">
        <f t="shared" si="1"/>
        <v>1677</v>
      </c>
      <c r="U11" s="538">
        <f t="shared" si="1"/>
        <v>2224</v>
      </c>
      <c r="V11" s="538" t="s">
        <v>249</v>
      </c>
      <c r="W11" s="361">
        <f t="shared" si="1"/>
        <v>29778</v>
      </c>
      <c r="X11" s="538">
        <f t="shared" si="1"/>
        <v>13668</v>
      </c>
      <c r="Y11" s="538">
        <f t="shared" si="1"/>
        <v>6555</v>
      </c>
      <c r="Z11" s="538">
        <f t="shared" si="1"/>
        <v>9124</v>
      </c>
      <c r="AA11" s="538" t="s">
        <v>249</v>
      </c>
      <c r="AB11" s="538">
        <f t="shared" si="1"/>
        <v>6601</v>
      </c>
      <c r="AC11" s="538">
        <f t="shared" si="1"/>
        <v>3200</v>
      </c>
      <c r="AD11" s="538">
        <f t="shared" si="1"/>
        <v>1354</v>
      </c>
      <c r="AE11" s="538">
        <f t="shared" si="1"/>
        <v>1896</v>
      </c>
      <c r="AF11" s="538" t="s">
        <v>249</v>
      </c>
      <c r="AG11" s="538">
        <f t="shared" si="1"/>
        <v>5524</v>
      </c>
      <c r="AH11" s="538">
        <f t="shared" si="1"/>
        <v>2839</v>
      </c>
      <c r="AI11" s="538">
        <f t="shared" si="1"/>
        <v>765</v>
      </c>
      <c r="AJ11" s="538">
        <f t="shared" si="1"/>
        <v>1796</v>
      </c>
      <c r="AK11" s="538" t="s">
        <v>249</v>
      </c>
      <c r="AL11" s="538">
        <f t="shared" si="1"/>
        <v>7204</v>
      </c>
      <c r="AM11" s="538">
        <f t="shared" si="1"/>
        <v>3584</v>
      </c>
      <c r="AN11" s="538">
        <f t="shared" si="1"/>
        <v>1606</v>
      </c>
      <c r="AO11" s="538">
        <f t="shared" si="1"/>
        <v>1954</v>
      </c>
      <c r="AP11" s="538" t="s">
        <v>249</v>
      </c>
      <c r="AQ11" s="538">
        <f t="shared" si="1"/>
        <v>6275</v>
      </c>
      <c r="AR11" s="538">
        <f t="shared" si="1"/>
        <v>2932</v>
      </c>
      <c r="AS11" s="538">
        <f t="shared" si="1"/>
        <v>1412</v>
      </c>
      <c r="AT11" s="538">
        <f t="shared" si="1"/>
        <v>1814</v>
      </c>
      <c r="AU11" s="538" t="s">
        <v>249</v>
      </c>
      <c r="AV11" s="361">
        <f t="shared" ref="AV11:AY11" si="2">SUM(AV12,AV15,AV19,AV23)</f>
        <v>25604</v>
      </c>
      <c r="AW11" s="538">
        <f t="shared" si="2"/>
        <v>12555</v>
      </c>
      <c r="AX11" s="538">
        <f t="shared" si="2"/>
        <v>5137</v>
      </c>
      <c r="AY11" s="538">
        <f t="shared" si="2"/>
        <v>7460</v>
      </c>
      <c r="AZ11" s="538" t="s">
        <v>249</v>
      </c>
      <c r="BA11" s="538">
        <f t="shared" si="1"/>
        <v>5296</v>
      </c>
      <c r="BB11" s="538">
        <f t="shared" si="1"/>
        <v>2424</v>
      </c>
      <c r="BC11" s="538">
        <f>SUM(BC12,BC15,BC19,BC23)</f>
        <v>1342</v>
      </c>
      <c r="BD11" s="538">
        <f t="shared" si="1"/>
        <v>1456</v>
      </c>
      <c r="BE11" s="538" t="s">
        <v>249</v>
      </c>
      <c r="BF11" s="538">
        <f t="shared" si="1"/>
        <v>6394</v>
      </c>
      <c r="BG11" s="538">
        <f t="shared" si="1"/>
        <v>3063</v>
      </c>
      <c r="BH11" s="538">
        <f t="shared" si="1"/>
        <v>1348</v>
      </c>
      <c r="BI11" s="538">
        <f t="shared" si="1"/>
        <v>1841</v>
      </c>
      <c r="BJ11" s="538" t="s">
        <v>249</v>
      </c>
      <c r="BK11" s="538">
        <f t="shared" si="1"/>
        <v>7483</v>
      </c>
      <c r="BL11" s="538">
        <f t="shared" si="1"/>
        <v>3570</v>
      </c>
      <c r="BM11" s="538">
        <f t="shared" si="1"/>
        <v>1628</v>
      </c>
      <c r="BN11" s="538">
        <f t="shared" si="1"/>
        <v>2213</v>
      </c>
      <c r="BO11" s="538" t="s">
        <v>249</v>
      </c>
      <c r="BP11" s="538">
        <f t="shared" ref="BP11:BS11" si="3">SUM(BP12,BP15,BP19,BP23)</f>
        <v>7417</v>
      </c>
      <c r="BQ11" s="538">
        <f t="shared" si="3"/>
        <v>3370</v>
      </c>
      <c r="BR11" s="538">
        <f t="shared" si="3"/>
        <v>1587</v>
      </c>
      <c r="BS11" s="538">
        <f t="shared" si="3"/>
        <v>2373</v>
      </c>
      <c r="BT11" s="538" t="s">
        <v>249</v>
      </c>
      <c r="BU11" s="361">
        <f t="shared" ref="BU11:BX11" si="4">SUM(BU12,BU15,BU19,BU23)</f>
        <v>26590</v>
      </c>
      <c r="BV11" s="538">
        <f t="shared" si="4"/>
        <v>12427</v>
      </c>
      <c r="BW11" s="538">
        <f t="shared" si="4"/>
        <v>5905</v>
      </c>
      <c r="BX11" s="538">
        <f t="shared" si="4"/>
        <v>7883</v>
      </c>
      <c r="BY11" s="538" t="s">
        <v>249</v>
      </c>
      <c r="BZ11" s="538">
        <f>SUM(BZ12,BZ15,BZ19,BZ23)</f>
        <v>6753</v>
      </c>
      <c r="CA11" s="538">
        <f t="shared" ref="CA11:CC11" si="5">SUM(CA12,CA15,CA19,CA23)</f>
        <v>3136</v>
      </c>
      <c r="CB11" s="538">
        <f t="shared" si="5"/>
        <v>1356</v>
      </c>
      <c r="CC11" s="538">
        <f t="shared" si="5"/>
        <v>2137</v>
      </c>
      <c r="CD11" s="538" t="s">
        <v>249</v>
      </c>
      <c r="CE11" s="538">
        <f t="shared" ref="CE11:CH11" si="6">SUM(CE12,CE15,CE19,CE23)</f>
        <v>6382</v>
      </c>
      <c r="CF11" s="538">
        <f t="shared" si="6"/>
        <v>3603</v>
      </c>
      <c r="CG11" s="538">
        <f t="shared" si="6"/>
        <v>1361</v>
      </c>
      <c r="CH11" s="538">
        <f t="shared" si="6"/>
        <v>1282</v>
      </c>
      <c r="CI11" s="538" t="s">
        <v>249</v>
      </c>
      <c r="CJ11" s="538">
        <f t="shared" ref="CJ11:CR11" si="7">SUM(CJ12,CJ15,CJ19,CJ23)</f>
        <v>9519</v>
      </c>
      <c r="CK11" s="538">
        <f t="shared" si="7"/>
        <v>5392</v>
      </c>
      <c r="CL11" s="538">
        <f t="shared" si="7"/>
        <v>1723</v>
      </c>
      <c r="CM11" s="538">
        <f t="shared" si="7"/>
        <v>2366</v>
      </c>
      <c r="CN11" s="538" t="s">
        <v>249</v>
      </c>
      <c r="CO11" s="538">
        <f t="shared" si="7"/>
        <v>10284</v>
      </c>
      <c r="CP11" s="538">
        <f t="shared" si="7"/>
        <v>6166</v>
      </c>
      <c r="CQ11" s="538">
        <f t="shared" si="7"/>
        <v>1716</v>
      </c>
      <c r="CR11" s="538">
        <f t="shared" si="7"/>
        <v>2352</v>
      </c>
      <c r="CS11" s="538" t="s">
        <v>249</v>
      </c>
      <c r="CT11" s="361">
        <f t="shared" ref="CT11:CW11" si="8">SUM(CT12,CT15,CT19,CT23)</f>
        <v>32938</v>
      </c>
      <c r="CU11" s="538">
        <f t="shared" si="8"/>
        <v>18297</v>
      </c>
      <c r="CV11" s="538">
        <f t="shared" si="8"/>
        <v>6156</v>
      </c>
      <c r="CW11" s="538">
        <f t="shared" si="8"/>
        <v>8137</v>
      </c>
      <c r="CX11" s="538" t="s">
        <v>249</v>
      </c>
      <c r="CY11" s="538">
        <f>SUM(CY12,CY15,CY19,CY23)</f>
        <v>8357</v>
      </c>
      <c r="CZ11" s="538">
        <f t="shared" ref="CZ11:DB11" si="9">SUM(CZ12,CZ15,CZ19,CZ23)</f>
        <v>4863</v>
      </c>
      <c r="DA11" s="538">
        <f t="shared" si="9"/>
        <v>1407</v>
      </c>
      <c r="DB11" s="538">
        <f t="shared" si="9"/>
        <v>2006</v>
      </c>
      <c r="DC11" s="538" t="s">
        <v>249</v>
      </c>
      <c r="DD11" s="538">
        <f>SUM(DD12,DD15,DD19,DD23)</f>
        <v>8863</v>
      </c>
      <c r="DE11" s="538">
        <f t="shared" ref="DE11:DG11" si="10">SUM(DE12,DE15,DE19,DE23)</f>
        <v>4969</v>
      </c>
      <c r="DF11" s="538">
        <f t="shared" si="10"/>
        <v>1664</v>
      </c>
      <c r="DG11" s="538">
        <f t="shared" si="10"/>
        <v>2173</v>
      </c>
      <c r="DH11" s="538" t="s">
        <v>249</v>
      </c>
      <c r="DI11" s="538">
        <v>9356</v>
      </c>
      <c r="DJ11" s="538">
        <f t="shared" ref="DJ11:DL11" si="11">SUM(DJ12,DJ15,DJ19,DJ23)</f>
        <v>5385</v>
      </c>
      <c r="DK11" s="538">
        <f t="shared" si="11"/>
        <v>1672</v>
      </c>
      <c r="DL11" s="538">
        <f t="shared" si="11"/>
        <v>2297</v>
      </c>
      <c r="DM11" s="538" t="s">
        <v>249</v>
      </c>
      <c r="DN11" s="538">
        <f>SUM(DN12,DN15,DN19,DN23)</f>
        <v>9086</v>
      </c>
      <c r="DO11" s="538">
        <f t="shared" ref="DO11:DQ11" si="12">SUM(DO12,DO15,DO19,DO23)</f>
        <v>5412</v>
      </c>
      <c r="DP11" s="538">
        <f t="shared" si="12"/>
        <v>1509</v>
      </c>
      <c r="DQ11" s="538">
        <f t="shared" si="12"/>
        <v>2116</v>
      </c>
      <c r="DR11" s="538" t="s">
        <v>249</v>
      </c>
      <c r="DS11" s="361">
        <f t="shared" ref="DS11:DV11" si="13">SUM(DS12,DS15,DS19,DS23)</f>
        <v>35662</v>
      </c>
      <c r="DT11" s="538">
        <f t="shared" si="13"/>
        <v>20629</v>
      </c>
      <c r="DU11" s="538">
        <f t="shared" si="13"/>
        <v>6252</v>
      </c>
      <c r="DV11" s="538">
        <f t="shared" si="13"/>
        <v>8592</v>
      </c>
      <c r="DW11" s="538" t="s">
        <v>249</v>
      </c>
      <c r="DX11" s="538">
        <f>SUM(DX12,DX15,DX19,DX23)</f>
        <v>8797</v>
      </c>
      <c r="DY11" s="538">
        <f t="shared" ref="DY11:EA11" si="14">SUM(DY12,DY15,DY19,DY23)</f>
        <v>5368</v>
      </c>
      <c r="DZ11" s="538">
        <f t="shared" si="14"/>
        <v>1483</v>
      </c>
      <c r="EA11" s="538">
        <f t="shared" si="14"/>
        <v>1916</v>
      </c>
      <c r="EB11" s="845">
        <v>0</v>
      </c>
      <c r="EC11" s="538">
        <f>SUM(EC12,EC15,EC19,EC23)</f>
        <v>8886</v>
      </c>
      <c r="ED11" s="538">
        <f t="shared" ref="ED11:EF11" si="15">SUM(ED12,ED15,ED19,ED23)</f>
        <v>5469</v>
      </c>
      <c r="EE11" s="538">
        <f t="shared" si="15"/>
        <v>889</v>
      </c>
      <c r="EF11" s="538">
        <f t="shared" si="15"/>
        <v>2434</v>
      </c>
      <c r="EG11" s="538" t="s">
        <v>249</v>
      </c>
      <c r="EH11" s="538">
        <f>SUM(EH12,EH15,EH19,EH23)</f>
        <v>9645</v>
      </c>
      <c r="EI11" s="538">
        <f t="shared" ref="EI11:EK11" si="16">SUM(EI12,EI15,EI19,EI23)</f>
        <v>5922</v>
      </c>
      <c r="EJ11" s="538">
        <f t="shared" si="16"/>
        <v>1438</v>
      </c>
      <c r="EK11" s="538">
        <f t="shared" si="16"/>
        <v>2282</v>
      </c>
      <c r="EL11" s="538" t="s">
        <v>249</v>
      </c>
      <c r="EM11" s="538">
        <f>SUM(EM12,EM15,EM19,EM23)</f>
        <v>8838</v>
      </c>
      <c r="EN11" s="538">
        <f t="shared" ref="EN11:EP11" si="17">SUM(EN12,EN15,EN19,EN23)</f>
        <v>5474</v>
      </c>
      <c r="EO11" s="538">
        <f t="shared" si="17"/>
        <v>1650</v>
      </c>
      <c r="EP11" s="538">
        <f t="shared" si="17"/>
        <v>1748</v>
      </c>
      <c r="EQ11" s="845">
        <v>0</v>
      </c>
      <c r="ER11" s="361">
        <f t="shared" ref="ER11:EU11" si="18">SUM(ER12,ER15,ER19,ER23)</f>
        <v>36166</v>
      </c>
      <c r="ES11" s="538">
        <f t="shared" si="18"/>
        <v>22233</v>
      </c>
      <c r="ET11" s="538">
        <f t="shared" si="18"/>
        <v>5460</v>
      </c>
      <c r="EU11" s="538">
        <f t="shared" si="18"/>
        <v>8380</v>
      </c>
      <c r="EV11" s="845">
        <v>0</v>
      </c>
      <c r="EW11" s="538">
        <f>SUM(EW12,EW15,EW19,EW23)</f>
        <v>8235</v>
      </c>
      <c r="EX11" s="538">
        <f t="shared" ref="EX11:EZ11" si="19">SUM(EX12,EX15,EX19,EX23)</f>
        <v>4576</v>
      </c>
      <c r="EY11" s="538">
        <f t="shared" si="19"/>
        <v>1351</v>
      </c>
      <c r="EZ11" s="538">
        <f t="shared" si="19"/>
        <v>2218</v>
      </c>
      <c r="FA11" s="845">
        <v>0</v>
      </c>
      <c r="FB11" s="538">
        <f>SUM(FB12,FB15,FB19,FB23)</f>
        <v>0</v>
      </c>
      <c r="FC11" s="538">
        <f t="shared" ref="FC11:FE11" si="20">SUM(FC12,FC15,FC19,FC23)</f>
        <v>0</v>
      </c>
      <c r="FD11" s="538">
        <f t="shared" si="20"/>
        <v>0</v>
      </c>
      <c r="FE11" s="538">
        <f t="shared" si="20"/>
        <v>0</v>
      </c>
      <c r="FF11" s="538" t="s">
        <v>249</v>
      </c>
      <c r="FG11" s="538">
        <f>SUM(FG12,FG15,FG19,FG23)</f>
        <v>0</v>
      </c>
      <c r="FH11" s="538">
        <f t="shared" ref="FH11:FJ11" si="21">SUM(FH12,FH15,FH19,FH23)</f>
        <v>0</v>
      </c>
      <c r="FI11" s="538">
        <f t="shared" si="21"/>
        <v>0</v>
      </c>
      <c r="FJ11" s="538">
        <f t="shared" si="21"/>
        <v>0</v>
      </c>
      <c r="FK11" s="538" t="s">
        <v>249</v>
      </c>
      <c r="FL11" s="538">
        <f>SUM(FL12,FL15,FL19,FL23)</f>
        <v>0</v>
      </c>
      <c r="FM11" s="538">
        <f t="shared" ref="FM11:FO11" si="22">SUM(FM12,FM15,FM19,FM23)</f>
        <v>0</v>
      </c>
      <c r="FN11" s="538">
        <f t="shared" si="22"/>
        <v>0</v>
      </c>
      <c r="FO11" s="538">
        <f t="shared" si="22"/>
        <v>0</v>
      </c>
      <c r="FP11" s="538" t="s">
        <v>249</v>
      </c>
      <c r="FQ11" s="361">
        <f t="shared" ref="FQ11:FT11" si="23">SUM(FQ12,FQ15,FQ19,FQ23)</f>
        <v>8235</v>
      </c>
      <c r="FR11" s="538">
        <f t="shared" si="23"/>
        <v>4576</v>
      </c>
      <c r="FS11" s="538">
        <f t="shared" si="23"/>
        <v>1351</v>
      </c>
      <c r="FT11" s="538">
        <f t="shared" si="23"/>
        <v>2218</v>
      </c>
      <c r="FU11" s="538" t="s">
        <v>249</v>
      </c>
      <c r="FW11" s="800"/>
    </row>
    <row r="12" spans="2:179">
      <c r="B12" s="99" t="str">
        <f>names!$A752</f>
        <v>Lekkie destylaty, w tym:</v>
      </c>
      <c r="C12" s="539">
        <f>SUM(C13:C14)</f>
        <v>1714</v>
      </c>
      <c r="D12" s="539">
        <f t="shared" ref="D12:BN12" si="24">SUM(D13:D14)</f>
        <v>727</v>
      </c>
      <c r="E12" s="539">
        <f t="shared" si="24"/>
        <v>374</v>
      </c>
      <c r="F12" s="539">
        <f t="shared" si="24"/>
        <v>626</v>
      </c>
      <c r="G12" s="539" t="s">
        <v>249</v>
      </c>
      <c r="H12" s="539">
        <f t="shared" si="24"/>
        <v>1881</v>
      </c>
      <c r="I12" s="539">
        <f t="shared" si="24"/>
        <v>792</v>
      </c>
      <c r="J12" s="539">
        <f t="shared" si="24"/>
        <v>435</v>
      </c>
      <c r="K12" s="539">
        <f t="shared" si="24"/>
        <v>667</v>
      </c>
      <c r="L12" s="539" t="s">
        <v>249</v>
      </c>
      <c r="M12" s="539">
        <f t="shared" si="24"/>
        <v>1937</v>
      </c>
      <c r="N12" s="539">
        <f t="shared" si="24"/>
        <v>783</v>
      </c>
      <c r="O12" s="539">
        <f t="shared" si="24"/>
        <v>469</v>
      </c>
      <c r="P12" s="539">
        <f t="shared" si="24"/>
        <v>700</v>
      </c>
      <c r="Q12" s="539" t="s">
        <v>249</v>
      </c>
      <c r="R12" s="539">
        <f t="shared" si="24"/>
        <v>1852</v>
      </c>
      <c r="S12" s="539">
        <f t="shared" si="24"/>
        <v>769</v>
      </c>
      <c r="T12" s="539">
        <f t="shared" si="24"/>
        <v>463</v>
      </c>
      <c r="U12" s="539">
        <f t="shared" si="24"/>
        <v>645</v>
      </c>
      <c r="V12" s="539" t="s">
        <v>249</v>
      </c>
      <c r="W12" s="362">
        <f t="shared" si="24"/>
        <v>7384</v>
      </c>
      <c r="X12" s="539">
        <f t="shared" si="24"/>
        <v>3071</v>
      </c>
      <c r="Y12" s="539">
        <f t="shared" si="24"/>
        <v>1741</v>
      </c>
      <c r="Z12" s="539">
        <f t="shared" si="24"/>
        <v>2638</v>
      </c>
      <c r="AA12" s="539" t="s">
        <v>249</v>
      </c>
      <c r="AB12" s="539">
        <f t="shared" si="24"/>
        <v>1667</v>
      </c>
      <c r="AC12" s="539">
        <f t="shared" si="24"/>
        <v>751</v>
      </c>
      <c r="AD12" s="539">
        <f t="shared" si="24"/>
        <v>357</v>
      </c>
      <c r="AE12" s="539">
        <f t="shared" si="24"/>
        <v>567</v>
      </c>
      <c r="AF12" s="539" t="s">
        <v>249</v>
      </c>
      <c r="AG12" s="539">
        <f t="shared" si="24"/>
        <v>1432</v>
      </c>
      <c r="AH12" s="539">
        <f t="shared" si="24"/>
        <v>625</v>
      </c>
      <c r="AI12" s="539">
        <f t="shared" si="24"/>
        <v>282</v>
      </c>
      <c r="AJ12" s="539">
        <f t="shared" si="24"/>
        <v>530</v>
      </c>
      <c r="AK12" s="539" t="s">
        <v>249</v>
      </c>
      <c r="AL12" s="539">
        <f t="shared" si="24"/>
        <v>1834</v>
      </c>
      <c r="AM12" s="539">
        <f t="shared" si="24"/>
        <v>825</v>
      </c>
      <c r="AN12" s="539">
        <f t="shared" si="24"/>
        <v>435</v>
      </c>
      <c r="AO12" s="539">
        <f t="shared" si="24"/>
        <v>583</v>
      </c>
      <c r="AP12" s="539" t="s">
        <v>249</v>
      </c>
      <c r="AQ12" s="539">
        <f t="shared" si="24"/>
        <v>1504</v>
      </c>
      <c r="AR12" s="539">
        <f t="shared" si="24"/>
        <v>619</v>
      </c>
      <c r="AS12" s="539">
        <f t="shared" si="24"/>
        <v>331</v>
      </c>
      <c r="AT12" s="539">
        <f t="shared" si="24"/>
        <v>554</v>
      </c>
      <c r="AU12" s="539" t="s">
        <v>249</v>
      </c>
      <c r="AV12" s="362">
        <f t="shared" ref="AV12:AY12" si="25">SUM(AV13:AV14)</f>
        <v>6437</v>
      </c>
      <c r="AW12" s="539">
        <f t="shared" si="25"/>
        <v>2820</v>
      </c>
      <c r="AX12" s="539">
        <f t="shared" si="25"/>
        <v>1405</v>
      </c>
      <c r="AY12" s="539">
        <f t="shared" si="25"/>
        <v>2234</v>
      </c>
      <c r="AZ12" s="539" t="s">
        <v>249</v>
      </c>
      <c r="BA12" s="539">
        <f t="shared" si="24"/>
        <v>1308</v>
      </c>
      <c r="BB12" s="539">
        <f t="shared" si="24"/>
        <v>521</v>
      </c>
      <c r="BC12" s="539">
        <f t="shared" si="24"/>
        <v>338</v>
      </c>
      <c r="BD12" s="539">
        <f t="shared" si="24"/>
        <v>459</v>
      </c>
      <c r="BE12" s="539" t="s">
        <v>249</v>
      </c>
      <c r="BF12" s="539">
        <f t="shared" si="24"/>
        <v>1717</v>
      </c>
      <c r="BG12" s="539">
        <f t="shared" si="24"/>
        <v>740</v>
      </c>
      <c r="BH12" s="539">
        <f t="shared" si="24"/>
        <v>388</v>
      </c>
      <c r="BI12" s="539">
        <f t="shared" si="24"/>
        <v>589</v>
      </c>
      <c r="BJ12" s="539" t="s">
        <v>249</v>
      </c>
      <c r="BK12" s="539">
        <f t="shared" si="24"/>
        <v>1927</v>
      </c>
      <c r="BL12" s="539">
        <f t="shared" si="24"/>
        <v>828</v>
      </c>
      <c r="BM12" s="539">
        <f t="shared" si="24"/>
        <v>467</v>
      </c>
      <c r="BN12" s="539">
        <f t="shared" si="24"/>
        <v>694</v>
      </c>
      <c r="BO12" s="539" t="s">
        <v>249</v>
      </c>
      <c r="BP12" s="539">
        <f t="shared" ref="BP12:BS12" si="26">SUM(BP13:BP14)</f>
        <v>1872</v>
      </c>
      <c r="BQ12" s="539">
        <f t="shared" si="26"/>
        <v>751</v>
      </c>
      <c r="BR12" s="539">
        <f t="shared" si="26"/>
        <v>449</v>
      </c>
      <c r="BS12" s="539">
        <f t="shared" si="26"/>
        <v>740</v>
      </c>
      <c r="BT12" s="539" t="s">
        <v>249</v>
      </c>
      <c r="BU12" s="362">
        <f t="shared" ref="BU12:BX12" si="27">SUM(BU13:BU14)</f>
        <v>6824</v>
      </c>
      <c r="BV12" s="539">
        <f t="shared" si="27"/>
        <v>2840</v>
      </c>
      <c r="BW12" s="539">
        <f t="shared" si="27"/>
        <v>1642</v>
      </c>
      <c r="BX12" s="539">
        <f t="shared" si="27"/>
        <v>2482</v>
      </c>
      <c r="BY12" s="539" t="s">
        <v>249</v>
      </c>
      <c r="BZ12" s="539">
        <f t="shared" ref="BZ12:CC12" si="28">SUM(BZ13:BZ14)</f>
        <v>1671</v>
      </c>
      <c r="CA12" s="539">
        <f t="shared" si="28"/>
        <v>716</v>
      </c>
      <c r="CB12" s="539">
        <f t="shared" si="28"/>
        <v>332</v>
      </c>
      <c r="CC12" s="539">
        <f t="shared" si="28"/>
        <v>656</v>
      </c>
      <c r="CD12" s="539" t="s">
        <v>249</v>
      </c>
      <c r="CE12" s="539">
        <f t="shared" ref="CE12:CH12" si="29">SUM(CE13:CE14)</f>
        <v>1468</v>
      </c>
      <c r="CF12" s="539">
        <f t="shared" si="29"/>
        <v>792</v>
      </c>
      <c r="CG12" s="539">
        <f t="shared" si="29"/>
        <v>348</v>
      </c>
      <c r="CH12" s="539">
        <f t="shared" si="29"/>
        <v>324</v>
      </c>
      <c r="CI12" s="539" t="s">
        <v>249</v>
      </c>
      <c r="CJ12" s="539">
        <f t="shared" ref="CJ12:CR12" si="30">SUM(CJ13:CJ14)</f>
        <v>2094</v>
      </c>
      <c r="CK12" s="539">
        <f t="shared" si="30"/>
        <v>1080</v>
      </c>
      <c r="CL12" s="539">
        <f t="shared" si="30"/>
        <v>458</v>
      </c>
      <c r="CM12" s="539">
        <f t="shared" si="30"/>
        <v>617</v>
      </c>
      <c r="CN12" s="539" t="s">
        <v>249</v>
      </c>
      <c r="CO12" s="539">
        <f t="shared" si="30"/>
        <v>2255</v>
      </c>
      <c r="CP12" s="539">
        <f t="shared" si="30"/>
        <v>1104</v>
      </c>
      <c r="CQ12" s="539">
        <f t="shared" si="30"/>
        <v>450</v>
      </c>
      <c r="CR12" s="539">
        <f t="shared" si="30"/>
        <v>710</v>
      </c>
      <c r="CS12" s="539" t="s">
        <v>249</v>
      </c>
      <c r="CT12" s="362">
        <f t="shared" ref="CT12:CW12" si="31">SUM(CT13:CT14)</f>
        <v>7488</v>
      </c>
      <c r="CU12" s="539">
        <f t="shared" si="31"/>
        <v>3692</v>
      </c>
      <c r="CV12" s="539">
        <f t="shared" si="31"/>
        <v>1588</v>
      </c>
      <c r="CW12" s="539">
        <f t="shared" si="31"/>
        <v>2307</v>
      </c>
      <c r="CX12" s="539" t="s">
        <v>249</v>
      </c>
      <c r="CY12" s="539">
        <f t="shared" ref="CY12:DB12" si="32">SUM(CY13:CY14)</f>
        <v>1910</v>
      </c>
      <c r="CZ12" s="539">
        <f t="shared" si="32"/>
        <v>972</v>
      </c>
      <c r="DA12" s="539">
        <f t="shared" si="32"/>
        <v>366</v>
      </c>
      <c r="DB12" s="539">
        <f t="shared" si="32"/>
        <v>627</v>
      </c>
      <c r="DC12" s="539" t="s">
        <v>249</v>
      </c>
      <c r="DD12" s="539">
        <f t="shared" ref="DD12:DG12" si="33">SUM(DD13:DD14)</f>
        <v>2174</v>
      </c>
      <c r="DE12" s="539">
        <f t="shared" si="33"/>
        <v>1039</v>
      </c>
      <c r="DF12" s="539">
        <f t="shared" si="33"/>
        <v>469</v>
      </c>
      <c r="DG12" s="539">
        <f t="shared" si="33"/>
        <v>718</v>
      </c>
      <c r="DH12" s="539" t="s">
        <v>249</v>
      </c>
      <c r="DI12" s="539">
        <v>2423</v>
      </c>
      <c r="DJ12" s="539">
        <f t="shared" ref="DJ12:DL12" si="34">SUM(DJ13:DJ14)</f>
        <v>1197</v>
      </c>
      <c r="DK12" s="539">
        <f t="shared" si="34"/>
        <v>469</v>
      </c>
      <c r="DL12" s="539">
        <f t="shared" si="34"/>
        <v>796</v>
      </c>
      <c r="DM12" s="539" t="s">
        <v>249</v>
      </c>
      <c r="DN12" s="539">
        <f t="shared" ref="DN12:DQ12" si="35">SUM(DN13:DN14)</f>
        <v>2207</v>
      </c>
      <c r="DO12" s="539">
        <f t="shared" si="35"/>
        <v>1094</v>
      </c>
      <c r="DP12" s="539">
        <f t="shared" si="35"/>
        <v>401</v>
      </c>
      <c r="DQ12" s="539">
        <f t="shared" si="35"/>
        <v>734</v>
      </c>
      <c r="DR12" s="539" t="s">
        <v>249</v>
      </c>
      <c r="DS12" s="362">
        <f t="shared" ref="DS12:DV12" si="36">SUM(DS13:DS14)</f>
        <v>8714</v>
      </c>
      <c r="DT12" s="539">
        <f t="shared" si="36"/>
        <v>4302</v>
      </c>
      <c r="DU12" s="539">
        <f t="shared" si="36"/>
        <v>1705</v>
      </c>
      <c r="DV12" s="539">
        <f t="shared" si="36"/>
        <v>2875</v>
      </c>
      <c r="DW12" s="539" t="s">
        <v>249</v>
      </c>
      <c r="DX12" s="539">
        <f t="shared" ref="DX12:EA12" si="37">SUM(DX13:DX14)</f>
        <v>2159</v>
      </c>
      <c r="DY12" s="539">
        <f t="shared" si="37"/>
        <v>1136</v>
      </c>
      <c r="DZ12" s="539">
        <f t="shared" si="37"/>
        <v>402</v>
      </c>
      <c r="EA12" s="539">
        <f t="shared" si="37"/>
        <v>669</v>
      </c>
      <c r="EB12" s="539" t="s">
        <v>249</v>
      </c>
      <c r="EC12" s="539">
        <f t="shared" ref="EC12:EF12" si="38">SUM(EC13:EC14)</f>
        <v>2258</v>
      </c>
      <c r="ED12" s="539">
        <f t="shared" si="38"/>
        <v>1217</v>
      </c>
      <c r="EE12" s="539">
        <f t="shared" si="38"/>
        <v>350</v>
      </c>
      <c r="EF12" s="539">
        <f t="shared" si="38"/>
        <v>758</v>
      </c>
      <c r="EG12" s="539" t="s">
        <v>249</v>
      </c>
      <c r="EH12" s="539">
        <f t="shared" ref="EH12:EK12" si="39">SUM(EH13:EH14)</f>
        <v>2305</v>
      </c>
      <c r="EI12" s="539">
        <f t="shared" si="39"/>
        <v>1206</v>
      </c>
      <c r="EJ12" s="539">
        <f t="shared" si="39"/>
        <v>432</v>
      </c>
      <c r="EK12" s="539">
        <f t="shared" si="39"/>
        <v>738</v>
      </c>
      <c r="EL12" s="539" t="s">
        <v>249</v>
      </c>
      <c r="EM12" s="539">
        <f>SUM(EM13:EM14)</f>
        <v>2077</v>
      </c>
      <c r="EN12" s="539">
        <f>SUM(EN13:EN14)</f>
        <v>1097</v>
      </c>
      <c r="EO12" s="539">
        <f t="shared" ref="EO12:EP12" si="40">SUM(EO13:EO14)</f>
        <v>469</v>
      </c>
      <c r="EP12" s="539">
        <f t="shared" si="40"/>
        <v>611</v>
      </c>
      <c r="EQ12" s="539" t="s">
        <v>249</v>
      </c>
      <c r="ER12" s="362">
        <f t="shared" ref="ER12:EU12" si="41">SUM(ER13:ER14)</f>
        <v>8799</v>
      </c>
      <c r="ES12" s="539">
        <f t="shared" si="41"/>
        <v>4656</v>
      </c>
      <c r="ET12" s="539">
        <f t="shared" si="41"/>
        <v>1653</v>
      </c>
      <c r="EU12" s="539">
        <f t="shared" si="41"/>
        <v>2776</v>
      </c>
      <c r="EV12" s="539" t="s">
        <v>249</v>
      </c>
      <c r="EW12" s="539">
        <f t="shared" ref="EW12:EZ12" si="42">SUM(EW13:EW14)</f>
        <v>2143</v>
      </c>
      <c r="EX12" s="539">
        <f t="shared" si="42"/>
        <v>1025</v>
      </c>
      <c r="EY12" s="539">
        <f t="shared" si="42"/>
        <v>403</v>
      </c>
      <c r="EZ12" s="539">
        <f t="shared" si="42"/>
        <v>723</v>
      </c>
      <c r="FA12" s="539" t="s">
        <v>249</v>
      </c>
      <c r="FB12" s="539">
        <f t="shared" ref="FB12:FE12" si="43">SUM(FB13:FB14)</f>
        <v>0</v>
      </c>
      <c r="FC12" s="539">
        <f t="shared" si="43"/>
        <v>0</v>
      </c>
      <c r="FD12" s="539">
        <f t="shared" si="43"/>
        <v>0</v>
      </c>
      <c r="FE12" s="539">
        <f t="shared" si="43"/>
        <v>0</v>
      </c>
      <c r="FF12" s="539" t="s">
        <v>249</v>
      </c>
      <c r="FG12" s="539">
        <f t="shared" ref="FG12:FJ12" si="44">SUM(FG13:FG14)</f>
        <v>0</v>
      </c>
      <c r="FH12" s="539">
        <f t="shared" si="44"/>
        <v>0</v>
      </c>
      <c r="FI12" s="539">
        <f t="shared" si="44"/>
        <v>0</v>
      </c>
      <c r="FJ12" s="539">
        <f t="shared" si="44"/>
        <v>0</v>
      </c>
      <c r="FK12" s="539" t="s">
        <v>249</v>
      </c>
      <c r="FL12" s="539">
        <f t="shared" ref="FL12:FO12" si="45">SUM(FL13:FL14)</f>
        <v>0</v>
      </c>
      <c r="FM12" s="539">
        <f t="shared" si="45"/>
        <v>0</v>
      </c>
      <c r="FN12" s="539">
        <f t="shared" si="45"/>
        <v>0</v>
      </c>
      <c r="FO12" s="539">
        <f t="shared" si="45"/>
        <v>0</v>
      </c>
      <c r="FP12" s="539" t="s">
        <v>249</v>
      </c>
      <c r="FQ12" s="362">
        <f t="shared" ref="FQ12:FT12" si="46">SUM(FQ13:FQ14)</f>
        <v>2143</v>
      </c>
      <c r="FR12" s="539">
        <f t="shared" si="46"/>
        <v>1025</v>
      </c>
      <c r="FS12" s="539">
        <f t="shared" si="46"/>
        <v>403</v>
      </c>
      <c r="FT12" s="539">
        <f t="shared" si="46"/>
        <v>723</v>
      </c>
      <c r="FU12" s="539" t="s">
        <v>249</v>
      </c>
    </row>
    <row r="13" spans="2:179">
      <c r="B13" s="540" t="str">
        <f>names!$A753</f>
        <v>- benzyna</v>
      </c>
      <c r="C13" s="541">
        <v>1574</v>
      </c>
      <c r="D13" s="541">
        <v>674</v>
      </c>
      <c r="E13" s="541">
        <v>345</v>
      </c>
      <c r="F13" s="541">
        <v>555</v>
      </c>
      <c r="G13" s="541" t="s">
        <v>249</v>
      </c>
      <c r="H13" s="541">
        <v>1717</v>
      </c>
      <c r="I13" s="541">
        <v>731</v>
      </c>
      <c r="J13" s="541">
        <v>401</v>
      </c>
      <c r="K13" s="541">
        <v>585</v>
      </c>
      <c r="L13" s="541" t="s">
        <v>249</v>
      </c>
      <c r="M13" s="541">
        <v>1742</v>
      </c>
      <c r="N13" s="541">
        <v>701</v>
      </c>
      <c r="O13" s="541">
        <v>425</v>
      </c>
      <c r="P13" s="541">
        <v>615</v>
      </c>
      <c r="Q13" s="541" t="s">
        <v>249</v>
      </c>
      <c r="R13" s="541">
        <v>1701</v>
      </c>
      <c r="S13" s="541">
        <v>705</v>
      </c>
      <c r="T13" s="541">
        <v>429</v>
      </c>
      <c r="U13" s="541">
        <v>575</v>
      </c>
      <c r="V13" s="541" t="s">
        <v>249</v>
      </c>
      <c r="W13" s="542">
        <f>SUM(C13,H13,M13,R13)</f>
        <v>6734</v>
      </c>
      <c r="X13" s="541">
        <f t="shared" ref="X13:Z14" si="47">SUM(D13,I13,N13,S13)</f>
        <v>2811</v>
      </c>
      <c r="Y13" s="541">
        <f t="shared" si="47"/>
        <v>1600</v>
      </c>
      <c r="Z13" s="541">
        <f t="shared" si="47"/>
        <v>2330</v>
      </c>
      <c r="AA13" s="541" t="s">
        <v>249</v>
      </c>
      <c r="AB13" s="541">
        <v>1519</v>
      </c>
      <c r="AC13" s="541">
        <v>675</v>
      </c>
      <c r="AD13" s="541">
        <v>331</v>
      </c>
      <c r="AE13" s="541">
        <v>512</v>
      </c>
      <c r="AF13" s="541" t="s">
        <v>249</v>
      </c>
      <c r="AG13" s="541">
        <v>1269</v>
      </c>
      <c r="AH13" s="541">
        <v>551</v>
      </c>
      <c r="AI13" s="541">
        <v>248</v>
      </c>
      <c r="AJ13" s="541">
        <v>470</v>
      </c>
      <c r="AK13" s="541" t="s">
        <v>249</v>
      </c>
      <c r="AL13" s="541">
        <v>1666</v>
      </c>
      <c r="AM13" s="541">
        <v>747</v>
      </c>
      <c r="AN13" s="541">
        <v>402</v>
      </c>
      <c r="AO13" s="541">
        <v>517</v>
      </c>
      <c r="AP13" s="541" t="s">
        <v>249</v>
      </c>
      <c r="AQ13" s="541">
        <v>1387</v>
      </c>
      <c r="AR13" s="541">
        <v>566</v>
      </c>
      <c r="AS13" s="541">
        <v>310</v>
      </c>
      <c r="AT13" s="541">
        <v>508</v>
      </c>
      <c r="AU13" s="541" t="s">
        <v>249</v>
      </c>
      <c r="AV13" s="542">
        <f>SUM(AB13,AG13,AL13,AQ13)</f>
        <v>5841</v>
      </c>
      <c r="AW13" s="541">
        <f t="shared" ref="AW13:AY14" si="48">SUM(AC13,AH13,AM13,AR13)</f>
        <v>2539</v>
      </c>
      <c r="AX13" s="541">
        <f t="shared" si="48"/>
        <v>1291</v>
      </c>
      <c r="AY13" s="541">
        <f t="shared" si="48"/>
        <v>2007</v>
      </c>
      <c r="AZ13" s="541" t="s">
        <v>249</v>
      </c>
      <c r="BA13" s="541">
        <v>1215</v>
      </c>
      <c r="BB13" s="541">
        <v>488</v>
      </c>
      <c r="BC13" s="541">
        <v>307</v>
      </c>
      <c r="BD13" s="541">
        <v>420</v>
      </c>
      <c r="BE13" s="541" t="s">
        <v>249</v>
      </c>
      <c r="BF13" s="541">
        <v>1540</v>
      </c>
      <c r="BG13" s="541">
        <v>647</v>
      </c>
      <c r="BH13" s="541">
        <v>360</v>
      </c>
      <c r="BI13" s="541">
        <v>532</v>
      </c>
      <c r="BJ13" s="541" t="s">
        <v>249</v>
      </c>
      <c r="BK13" s="541">
        <v>1755</v>
      </c>
      <c r="BL13" s="541">
        <v>756</v>
      </c>
      <c r="BM13" s="541">
        <v>424</v>
      </c>
      <c r="BN13" s="541">
        <v>626</v>
      </c>
      <c r="BO13" s="541" t="s">
        <v>249</v>
      </c>
      <c r="BP13" s="541">
        <v>1756</v>
      </c>
      <c r="BQ13" s="541">
        <v>707</v>
      </c>
      <c r="BR13" s="541">
        <v>420</v>
      </c>
      <c r="BS13" s="541">
        <v>687</v>
      </c>
      <c r="BT13" s="541" t="s">
        <v>249</v>
      </c>
      <c r="BU13" s="542">
        <f>SUM(BA13,BF13,BK13,BP13)</f>
        <v>6266</v>
      </c>
      <c r="BV13" s="541">
        <f t="shared" ref="BV13:BX14" si="49">SUM(BB13,BG13,BL13,BQ13)</f>
        <v>2598</v>
      </c>
      <c r="BW13" s="541">
        <f t="shared" si="49"/>
        <v>1511</v>
      </c>
      <c r="BX13" s="541">
        <f t="shared" si="49"/>
        <v>2265</v>
      </c>
      <c r="BY13" s="541" t="s">
        <v>249</v>
      </c>
      <c r="BZ13" s="541">
        <v>1562</v>
      </c>
      <c r="CA13" s="541">
        <v>671</v>
      </c>
      <c r="CB13" s="541">
        <v>311</v>
      </c>
      <c r="CC13" s="541">
        <v>602</v>
      </c>
      <c r="CD13" s="541" t="s">
        <v>249</v>
      </c>
      <c r="CE13" s="541">
        <v>1356</v>
      </c>
      <c r="CF13" s="541">
        <v>723</v>
      </c>
      <c r="CG13" s="541">
        <v>325</v>
      </c>
      <c r="CH13" s="541">
        <v>297</v>
      </c>
      <c r="CI13" s="541" t="s">
        <v>249</v>
      </c>
      <c r="CJ13" s="541">
        <v>1917</v>
      </c>
      <c r="CK13" s="541">
        <v>978</v>
      </c>
      <c r="CL13" s="541">
        <v>417</v>
      </c>
      <c r="CM13" s="541">
        <v>574</v>
      </c>
      <c r="CN13" s="541" t="s">
        <v>249</v>
      </c>
      <c r="CO13" s="541">
        <v>2078</v>
      </c>
      <c r="CP13" s="541">
        <v>1004</v>
      </c>
      <c r="CQ13" s="541">
        <v>424</v>
      </c>
      <c r="CR13" s="541">
        <v>659</v>
      </c>
      <c r="CS13" s="541" t="s">
        <v>249</v>
      </c>
      <c r="CT13" s="542">
        <f>SUM(BZ13,CE13,CJ13,CO13)</f>
        <v>6913</v>
      </c>
      <c r="CU13" s="541">
        <f t="shared" ref="CU13:CU14" si="50">SUM(CA13,CF13,CK13,CP13)</f>
        <v>3376</v>
      </c>
      <c r="CV13" s="541">
        <f t="shared" ref="CV13:CV14" si="51">SUM(CB13,CG13,CL13,CQ13)</f>
        <v>1477</v>
      </c>
      <c r="CW13" s="541">
        <f t="shared" ref="CW13:CW14" si="52">SUM(CC13,CH13,CM13,CR13)</f>
        <v>2132</v>
      </c>
      <c r="CX13" s="541" t="s">
        <v>249</v>
      </c>
      <c r="CY13" s="541">
        <v>1775</v>
      </c>
      <c r="CZ13" s="541">
        <v>902</v>
      </c>
      <c r="DA13" s="541">
        <v>345</v>
      </c>
      <c r="DB13" s="541">
        <v>579</v>
      </c>
      <c r="DC13" s="541" t="s">
        <v>249</v>
      </c>
      <c r="DD13" s="541">
        <v>1979</v>
      </c>
      <c r="DE13" s="541">
        <v>957</v>
      </c>
      <c r="DF13" s="541">
        <v>419</v>
      </c>
      <c r="DG13" s="541">
        <v>655</v>
      </c>
      <c r="DH13" s="541" t="s">
        <v>249</v>
      </c>
      <c r="DI13" s="541">
        <v>2215</v>
      </c>
      <c r="DJ13" s="541">
        <v>1095</v>
      </c>
      <c r="DK13" s="541">
        <v>428</v>
      </c>
      <c r="DL13" s="541">
        <v>721</v>
      </c>
      <c r="DM13" s="541" t="s">
        <v>249</v>
      </c>
      <c r="DN13" s="541">
        <v>2057</v>
      </c>
      <c r="DO13" s="541">
        <v>1020</v>
      </c>
      <c r="DP13" s="541">
        <v>373</v>
      </c>
      <c r="DQ13" s="541">
        <v>680</v>
      </c>
      <c r="DR13" s="541" t="s">
        <v>249</v>
      </c>
      <c r="DS13" s="542">
        <f>SUM(CY13,DD13,DI13,DN13)</f>
        <v>8026</v>
      </c>
      <c r="DT13" s="541">
        <f t="shared" ref="DT13:DT14" si="53">SUM(CZ13,DE13,DJ13,DO13)</f>
        <v>3974</v>
      </c>
      <c r="DU13" s="541">
        <f t="shared" ref="DU13:DU14" si="54">SUM(DA13,DF13,DK13,DP13)</f>
        <v>1565</v>
      </c>
      <c r="DV13" s="541">
        <f t="shared" ref="DV13:DV14" si="55">SUM(DB13,DG13,DL13,DQ13)</f>
        <v>2635</v>
      </c>
      <c r="DW13" s="541" t="s">
        <v>249</v>
      </c>
      <c r="DX13" s="541">
        <v>2016</v>
      </c>
      <c r="DY13" s="541">
        <v>1062</v>
      </c>
      <c r="DZ13" s="541">
        <v>375</v>
      </c>
      <c r="EA13" s="541">
        <v>618</v>
      </c>
      <c r="EB13" s="541" t="s">
        <v>249</v>
      </c>
      <c r="EC13" s="541">
        <v>2068</v>
      </c>
      <c r="ED13" s="541">
        <v>1119</v>
      </c>
      <c r="EE13" s="541">
        <v>321</v>
      </c>
      <c r="EF13" s="541">
        <v>688</v>
      </c>
      <c r="EG13" s="541" t="s">
        <v>249</v>
      </c>
      <c r="EH13" s="541">
        <v>2111</v>
      </c>
      <c r="EI13" s="541">
        <v>1104</v>
      </c>
      <c r="EJ13" s="541">
        <v>395</v>
      </c>
      <c r="EK13" s="541">
        <v>679</v>
      </c>
      <c r="EL13" s="541" t="s">
        <v>249</v>
      </c>
      <c r="EM13" s="541">
        <v>1911</v>
      </c>
      <c r="EN13" s="541">
        <v>1001</v>
      </c>
      <c r="EO13" s="541">
        <v>438</v>
      </c>
      <c r="EP13" s="541">
        <v>566</v>
      </c>
      <c r="EQ13" s="541" t="s">
        <v>249</v>
      </c>
      <c r="ER13" s="542">
        <f>SUM(DX13,EC13,EH13,EM13)</f>
        <v>8106</v>
      </c>
      <c r="ES13" s="541">
        <f t="shared" ref="ES13:ES14" si="56">SUM(DY13,ED13,EI13,EN13)</f>
        <v>4286</v>
      </c>
      <c r="ET13" s="541">
        <f t="shared" ref="ET13:ET14" si="57">SUM(DZ13,EE13,EJ13,EO13)</f>
        <v>1529</v>
      </c>
      <c r="EU13" s="541">
        <f t="shared" ref="EU13:EU14" si="58">SUM(EA13,EF13,EK13,EP13)</f>
        <v>2551</v>
      </c>
      <c r="EV13" s="848">
        <v>0</v>
      </c>
      <c r="EW13" s="541">
        <v>1995</v>
      </c>
      <c r="EX13" s="541">
        <v>950</v>
      </c>
      <c r="EY13" s="541">
        <v>374</v>
      </c>
      <c r="EZ13" s="541">
        <v>669</v>
      </c>
      <c r="FA13" s="541" t="s">
        <v>249</v>
      </c>
      <c r="FB13" s="541"/>
      <c r="FC13" s="541"/>
      <c r="FD13" s="541"/>
      <c r="FE13" s="541"/>
      <c r="FF13" s="541"/>
      <c r="FG13" s="541"/>
      <c r="FH13" s="541"/>
      <c r="FI13" s="541"/>
      <c r="FJ13" s="541"/>
      <c r="FK13" s="541"/>
      <c r="FL13" s="541"/>
      <c r="FM13" s="541"/>
      <c r="FN13" s="541"/>
      <c r="FO13" s="541"/>
      <c r="FP13" s="541"/>
      <c r="FQ13" s="542">
        <f>SUM(EW13,FB13,FG13,FL13)</f>
        <v>1995</v>
      </c>
      <c r="FR13" s="541">
        <f t="shared" ref="FR13:FR14" si="59">SUM(EX13,FC13,FH13,FM13)</f>
        <v>950</v>
      </c>
      <c r="FS13" s="541">
        <f t="shared" ref="FS13:FS14" si="60">SUM(EY13,FD13,FI13,FN13)</f>
        <v>374</v>
      </c>
      <c r="FT13" s="541">
        <f t="shared" ref="FT13:FT14" si="61">SUM(EZ13,FE13,FJ13,FO13)</f>
        <v>669</v>
      </c>
      <c r="FU13" s="541" t="s">
        <v>249</v>
      </c>
    </row>
    <row r="14" spans="2:179">
      <c r="B14" s="543" t="str">
        <f>names!$A754</f>
        <v>- LPG</v>
      </c>
      <c r="C14" s="544">
        <v>140</v>
      </c>
      <c r="D14" s="544">
        <v>53</v>
      </c>
      <c r="E14" s="544">
        <v>29</v>
      </c>
      <c r="F14" s="544">
        <v>71</v>
      </c>
      <c r="G14" s="544" t="s">
        <v>249</v>
      </c>
      <c r="H14" s="544">
        <v>164</v>
      </c>
      <c r="I14" s="544">
        <v>61</v>
      </c>
      <c r="J14" s="544">
        <v>34</v>
      </c>
      <c r="K14" s="544">
        <v>82</v>
      </c>
      <c r="L14" s="544" t="s">
        <v>249</v>
      </c>
      <c r="M14" s="544">
        <v>195</v>
      </c>
      <c r="N14" s="544">
        <v>82</v>
      </c>
      <c r="O14" s="544">
        <v>44</v>
      </c>
      <c r="P14" s="544">
        <v>85</v>
      </c>
      <c r="Q14" s="544" t="s">
        <v>249</v>
      </c>
      <c r="R14" s="544">
        <v>151</v>
      </c>
      <c r="S14" s="544">
        <v>64</v>
      </c>
      <c r="T14" s="544">
        <v>34</v>
      </c>
      <c r="U14" s="544">
        <v>70</v>
      </c>
      <c r="V14" s="544" t="s">
        <v>249</v>
      </c>
      <c r="W14" s="545">
        <f>SUM(C14,H14,M14,R14)</f>
        <v>650</v>
      </c>
      <c r="X14" s="544">
        <f t="shared" si="47"/>
        <v>260</v>
      </c>
      <c r="Y14" s="544">
        <f t="shared" si="47"/>
        <v>141</v>
      </c>
      <c r="Z14" s="544">
        <f t="shared" si="47"/>
        <v>308</v>
      </c>
      <c r="AA14" s="544" t="s">
        <v>249</v>
      </c>
      <c r="AB14" s="544">
        <v>148</v>
      </c>
      <c r="AC14" s="544">
        <v>76</v>
      </c>
      <c r="AD14" s="544">
        <v>26</v>
      </c>
      <c r="AE14" s="544">
        <v>55</v>
      </c>
      <c r="AF14" s="544" t="s">
        <v>249</v>
      </c>
      <c r="AG14" s="544">
        <v>163</v>
      </c>
      <c r="AH14" s="544">
        <v>74</v>
      </c>
      <c r="AI14" s="544">
        <v>34</v>
      </c>
      <c r="AJ14" s="544">
        <v>60</v>
      </c>
      <c r="AK14" s="544" t="s">
        <v>249</v>
      </c>
      <c r="AL14" s="544">
        <v>168</v>
      </c>
      <c r="AM14" s="544">
        <v>78</v>
      </c>
      <c r="AN14" s="544">
        <v>33</v>
      </c>
      <c r="AO14" s="544">
        <v>66</v>
      </c>
      <c r="AP14" s="544" t="s">
        <v>249</v>
      </c>
      <c r="AQ14" s="544">
        <v>117</v>
      </c>
      <c r="AR14" s="544">
        <v>53</v>
      </c>
      <c r="AS14" s="544">
        <v>21</v>
      </c>
      <c r="AT14" s="544">
        <v>46</v>
      </c>
      <c r="AU14" s="544" t="s">
        <v>249</v>
      </c>
      <c r="AV14" s="545">
        <f>SUM(AB14,AG14,AL14,AQ14)</f>
        <v>596</v>
      </c>
      <c r="AW14" s="544">
        <f t="shared" si="48"/>
        <v>281</v>
      </c>
      <c r="AX14" s="544">
        <f t="shared" si="48"/>
        <v>114</v>
      </c>
      <c r="AY14" s="544">
        <f t="shared" si="48"/>
        <v>227</v>
      </c>
      <c r="AZ14" s="544" t="s">
        <v>249</v>
      </c>
      <c r="BA14" s="544">
        <v>93</v>
      </c>
      <c r="BB14" s="544">
        <v>33</v>
      </c>
      <c r="BC14" s="544">
        <v>31</v>
      </c>
      <c r="BD14" s="544">
        <v>39</v>
      </c>
      <c r="BE14" s="544" t="s">
        <v>249</v>
      </c>
      <c r="BF14" s="544">
        <v>177</v>
      </c>
      <c r="BG14" s="544">
        <v>93</v>
      </c>
      <c r="BH14" s="544">
        <v>28</v>
      </c>
      <c r="BI14" s="544">
        <v>57</v>
      </c>
      <c r="BJ14" s="544" t="s">
        <v>249</v>
      </c>
      <c r="BK14" s="544">
        <v>172</v>
      </c>
      <c r="BL14" s="544">
        <v>72</v>
      </c>
      <c r="BM14" s="544">
        <v>43</v>
      </c>
      <c r="BN14" s="544">
        <v>68</v>
      </c>
      <c r="BO14" s="544" t="s">
        <v>249</v>
      </c>
      <c r="BP14" s="544">
        <v>116</v>
      </c>
      <c r="BQ14" s="544">
        <v>44</v>
      </c>
      <c r="BR14" s="544">
        <v>29</v>
      </c>
      <c r="BS14" s="544">
        <v>53</v>
      </c>
      <c r="BT14" s="544" t="s">
        <v>249</v>
      </c>
      <c r="BU14" s="545">
        <f>SUM(BA14,BF14,BK14,BP14)</f>
        <v>558</v>
      </c>
      <c r="BV14" s="544">
        <f t="shared" si="49"/>
        <v>242</v>
      </c>
      <c r="BW14" s="544">
        <f t="shared" si="49"/>
        <v>131</v>
      </c>
      <c r="BX14" s="544">
        <f t="shared" si="49"/>
        <v>217</v>
      </c>
      <c r="BY14" s="544" t="s">
        <v>249</v>
      </c>
      <c r="BZ14" s="544">
        <v>109</v>
      </c>
      <c r="CA14" s="544">
        <v>45</v>
      </c>
      <c r="CB14" s="544">
        <v>21</v>
      </c>
      <c r="CC14" s="544">
        <v>54</v>
      </c>
      <c r="CD14" s="544" t="s">
        <v>249</v>
      </c>
      <c r="CE14" s="544">
        <v>112</v>
      </c>
      <c r="CF14" s="544">
        <v>69</v>
      </c>
      <c r="CG14" s="544">
        <v>23</v>
      </c>
      <c r="CH14" s="544">
        <v>27</v>
      </c>
      <c r="CI14" s="544" t="s">
        <v>249</v>
      </c>
      <c r="CJ14" s="544">
        <v>177</v>
      </c>
      <c r="CK14" s="544">
        <v>102</v>
      </c>
      <c r="CL14" s="544">
        <v>41</v>
      </c>
      <c r="CM14" s="544">
        <v>43</v>
      </c>
      <c r="CN14" s="544" t="s">
        <v>249</v>
      </c>
      <c r="CO14" s="544">
        <v>177</v>
      </c>
      <c r="CP14" s="544">
        <v>100</v>
      </c>
      <c r="CQ14" s="544">
        <v>26</v>
      </c>
      <c r="CR14" s="544">
        <v>51</v>
      </c>
      <c r="CS14" s="544" t="s">
        <v>249</v>
      </c>
      <c r="CT14" s="545">
        <f>SUM(BZ14,CE14,CJ14,CO14)</f>
        <v>575</v>
      </c>
      <c r="CU14" s="544">
        <f t="shared" si="50"/>
        <v>316</v>
      </c>
      <c r="CV14" s="544">
        <f t="shared" si="51"/>
        <v>111</v>
      </c>
      <c r="CW14" s="544">
        <f t="shared" si="52"/>
        <v>175</v>
      </c>
      <c r="CX14" s="544" t="s">
        <v>249</v>
      </c>
      <c r="CY14" s="544">
        <v>135</v>
      </c>
      <c r="CZ14" s="544">
        <v>70</v>
      </c>
      <c r="DA14" s="544">
        <v>21</v>
      </c>
      <c r="DB14" s="544">
        <v>48</v>
      </c>
      <c r="DC14" s="544" t="s">
        <v>249</v>
      </c>
      <c r="DD14" s="544">
        <v>195</v>
      </c>
      <c r="DE14" s="544">
        <v>82</v>
      </c>
      <c r="DF14" s="544">
        <v>50</v>
      </c>
      <c r="DG14" s="544">
        <v>63</v>
      </c>
      <c r="DH14" s="544" t="s">
        <v>249</v>
      </c>
      <c r="DI14" s="544">
        <v>208</v>
      </c>
      <c r="DJ14" s="544">
        <v>102</v>
      </c>
      <c r="DK14" s="544">
        <v>41</v>
      </c>
      <c r="DL14" s="544">
        <v>75</v>
      </c>
      <c r="DM14" s="544" t="s">
        <v>249</v>
      </c>
      <c r="DN14" s="544">
        <v>150</v>
      </c>
      <c r="DO14" s="544">
        <v>74</v>
      </c>
      <c r="DP14" s="544">
        <v>28</v>
      </c>
      <c r="DQ14" s="544">
        <v>54</v>
      </c>
      <c r="DR14" s="544" t="s">
        <v>249</v>
      </c>
      <c r="DS14" s="545">
        <f>SUM(CY14,DD14,DI14,DN14)</f>
        <v>688</v>
      </c>
      <c r="DT14" s="544">
        <f t="shared" si="53"/>
        <v>328</v>
      </c>
      <c r="DU14" s="544">
        <f t="shared" si="54"/>
        <v>140</v>
      </c>
      <c r="DV14" s="544">
        <f t="shared" si="55"/>
        <v>240</v>
      </c>
      <c r="DW14" s="544" t="s">
        <v>249</v>
      </c>
      <c r="DX14" s="544">
        <v>143</v>
      </c>
      <c r="DY14" s="544">
        <v>74</v>
      </c>
      <c r="DZ14" s="544">
        <v>27</v>
      </c>
      <c r="EA14" s="544">
        <v>51</v>
      </c>
      <c r="EB14" s="544" t="s">
        <v>249</v>
      </c>
      <c r="EC14" s="544">
        <v>190</v>
      </c>
      <c r="ED14" s="544">
        <v>98</v>
      </c>
      <c r="EE14" s="544">
        <v>29</v>
      </c>
      <c r="EF14" s="544">
        <v>70</v>
      </c>
      <c r="EG14" s="544" t="s">
        <v>249</v>
      </c>
      <c r="EH14" s="544">
        <v>194</v>
      </c>
      <c r="EI14" s="544">
        <v>102</v>
      </c>
      <c r="EJ14" s="544">
        <v>37</v>
      </c>
      <c r="EK14" s="544">
        <v>59</v>
      </c>
      <c r="EL14" s="544" t="s">
        <v>249</v>
      </c>
      <c r="EM14" s="544">
        <v>166</v>
      </c>
      <c r="EN14" s="544">
        <v>96</v>
      </c>
      <c r="EO14" s="544">
        <v>31</v>
      </c>
      <c r="EP14" s="544">
        <v>45</v>
      </c>
      <c r="EQ14" s="544" t="s">
        <v>249</v>
      </c>
      <c r="ER14" s="545">
        <f>SUM(DX14,EC14,EH14,EM14)</f>
        <v>693</v>
      </c>
      <c r="ES14" s="544">
        <f t="shared" si="56"/>
        <v>370</v>
      </c>
      <c r="ET14" s="544">
        <f t="shared" si="57"/>
        <v>124</v>
      </c>
      <c r="EU14" s="544">
        <f t="shared" si="58"/>
        <v>225</v>
      </c>
      <c r="EV14" s="544" t="s">
        <v>249</v>
      </c>
      <c r="EW14" s="544">
        <v>148</v>
      </c>
      <c r="EX14" s="544">
        <v>75</v>
      </c>
      <c r="EY14" s="544">
        <v>29</v>
      </c>
      <c r="EZ14" s="544">
        <v>54</v>
      </c>
      <c r="FA14" s="544" t="s">
        <v>249</v>
      </c>
      <c r="FB14" s="544"/>
      <c r="FC14" s="544"/>
      <c r="FD14" s="544"/>
      <c r="FE14" s="544"/>
      <c r="FF14" s="544"/>
      <c r="FG14" s="544"/>
      <c r="FH14" s="544"/>
      <c r="FI14" s="544"/>
      <c r="FJ14" s="544"/>
      <c r="FK14" s="544"/>
      <c r="FL14" s="544"/>
      <c r="FM14" s="544"/>
      <c r="FN14" s="544"/>
      <c r="FO14" s="544"/>
      <c r="FP14" s="544"/>
      <c r="FQ14" s="545">
        <f>SUM(EW14,FB14,FG14,FL14)</f>
        <v>148</v>
      </c>
      <c r="FR14" s="544">
        <f t="shared" si="59"/>
        <v>75</v>
      </c>
      <c r="FS14" s="544">
        <f t="shared" si="60"/>
        <v>29</v>
      </c>
      <c r="FT14" s="544">
        <f t="shared" si="61"/>
        <v>54</v>
      </c>
      <c r="FU14" s="544" t="s">
        <v>249</v>
      </c>
    </row>
    <row r="15" spans="2:179">
      <c r="B15" s="99" t="str">
        <f>names!$A755</f>
        <v>Średnie destylaty, w tym:</v>
      </c>
      <c r="C15" s="539">
        <f>SUM(C16:C18)</f>
        <v>3867</v>
      </c>
      <c r="D15" s="539">
        <f t="shared" ref="D15:F15" si="62">SUM(D16:D18)</f>
        <v>2009</v>
      </c>
      <c r="E15" s="539">
        <f t="shared" si="62"/>
        <v>866</v>
      </c>
      <c r="F15" s="539">
        <f t="shared" si="62"/>
        <v>986</v>
      </c>
      <c r="G15" s="539" t="s">
        <v>249</v>
      </c>
      <c r="H15" s="539">
        <f t="shared" ref="H15:K15" si="63">SUM(H16:H18)</f>
        <v>4077</v>
      </c>
      <c r="I15" s="539">
        <f t="shared" si="63"/>
        <v>2056</v>
      </c>
      <c r="J15" s="539">
        <f t="shared" si="63"/>
        <v>904</v>
      </c>
      <c r="K15" s="539">
        <f t="shared" si="63"/>
        <v>1114</v>
      </c>
      <c r="L15" s="539" t="s">
        <v>249</v>
      </c>
      <c r="M15" s="539">
        <f t="shared" ref="M15:P15" si="64">SUM(M16:M18)</f>
        <v>4285</v>
      </c>
      <c r="N15" s="539">
        <f t="shared" si="64"/>
        <v>2063</v>
      </c>
      <c r="O15" s="539">
        <f t="shared" si="64"/>
        <v>1049</v>
      </c>
      <c r="P15" s="539">
        <f t="shared" si="64"/>
        <v>1158</v>
      </c>
      <c r="Q15" s="539" t="s">
        <v>249</v>
      </c>
      <c r="R15" s="539">
        <f t="shared" ref="R15:U15" si="65">SUM(R16:R18)</f>
        <v>4060</v>
      </c>
      <c r="S15" s="539">
        <f t="shared" si="65"/>
        <v>2004</v>
      </c>
      <c r="T15" s="539">
        <f t="shared" si="65"/>
        <v>976</v>
      </c>
      <c r="U15" s="539">
        <f t="shared" si="65"/>
        <v>1069</v>
      </c>
      <c r="V15" s="539" t="s">
        <v>249</v>
      </c>
      <c r="W15" s="362">
        <f t="shared" ref="W15:Z15" si="66">SUM(W16:W18)</f>
        <v>16289</v>
      </c>
      <c r="X15" s="539">
        <f t="shared" si="66"/>
        <v>8132</v>
      </c>
      <c r="Y15" s="539">
        <f t="shared" si="66"/>
        <v>3795</v>
      </c>
      <c r="Z15" s="539">
        <f t="shared" si="66"/>
        <v>4327</v>
      </c>
      <c r="AA15" s="539" t="s">
        <v>249</v>
      </c>
      <c r="AB15" s="539">
        <f t="shared" ref="AB15:AE15" si="67">SUM(AB16:AB18)</f>
        <v>3675</v>
      </c>
      <c r="AC15" s="539">
        <f t="shared" si="67"/>
        <v>1944</v>
      </c>
      <c r="AD15" s="539">
        <f t="shared" si="67"/>
        <v>813</v>
      </c>
      <c r="AE15" s="539">
        <f t="shared" si="67"/>
        <v>898</v>
      </c>
      <c r="AF15" s="539" t="s">
        <v>249</v>
      </c>
      <c r="AG15" s="539">
        <f t="shared" ref="AG15:AJ15" si="68">SUM(AG16:AG18)</f>
        <v>2994</v>
      </c>
      <c r="AH15" s="539">
        <f t="shared" si="68"/>
        <v>1731</v>
      </c>
      <c r="AI15" s="539">
        <f t="shared" si="68"/>
        <v>376</v>
      </c>
      <c r="AJ15" s="539">
        <f t="shared" si="68"/>
        <v>880</v>
      </c>
      <c r="AK15" s="539" t="s">
        <v>249</v>
      </c>
      <c r="AL15" s="539">
        <f t="shared" ref="AL15:AO15" si="69">SUM(AL16:AL18)</f>
        <v>3916</v>
      </c>
      <c r="AM15" s="539">
        <f t="shared" si="69"/>
        <v>2059</v>
      </c>
      <c r="AN15" s="539">
        <f t="shared" si="69"/>
        <v>916</v>
      </c>
      <c r="AO15" s="539">
        <f t="shared" si="69"/>
        <v>928</v>
      </c>
      <c r="AP15" s="539" t="s">
        <v>249</v>
      </c>
      <c r="AQ15" s="539">
        <f t="shared" ref="AQ15:AT15" si="70">SUM(AQ16:AQ18)</f>
        <v>3354</v>
      </c>
      <c r="AR15" s="539">
        <f t="shared" si="70"/>
        <v>1665</v>
      </c>
      <c r="AS15" s="539">
        <f t="shared" si="70"/>
        <v>827</v>
      </c>
      <c r="AT15" s="539">
        <f t="shared" si="70"/>
        <v>849</v>
      </c>
      <c r="AU15" s="539" t="s">
        <v>249</v>
      </c>
      <c r="AV15" s="362">
        <f t="shared" ref="AV15:AY15" si="71">SUM(AV16:AV18)</f>
        <v>13939</v>
      </c>
      <c r="AW15" s="539">
        <f t="shared" si="71"/>
        <v>7399</v>
      </c>
      <c r="AX15" s="539">
        <f t="shared" si="71"/>
        <v>2932</v>
      </c>
      <c r="AY15" s="539">
        <f t="shared" si="71"/>
        <v>3555</v>
      </c>
      <c r="AZ15" s="539" t="s">
        <v>249</v>
      </c>
      <c r="BA15" s="539">
        <f t="shared" ref="BA15:BD15" si="72">SUM(BA16:BA18)</f>
        <v>2870</v>
      </c>
      <c r="BB15" s="539">
        <f t="shared" si="72"/>
        <v>1374</v>
      </c>
      <c r="BC15" s="539">
        <f t="shared" si="72"/>
        <v>791</v>
      </c>
      <c r="BD15" s="539">
        <f t="shared" si="72"/>
        <v>688</v>
      </c>
      <c r="BE15" s="539" t="s">
        <v>249</v>
      </c>
      <c r="BF15" s="539">
        <f t="shared" ref="BF15:BI15" si="73">SUM(BF16:BF18)</f>
        <v>3447</v>
      </c>
      <c r="BG15" s="539">
        <f t="shared" si="73"/>
        <v>1785</v>
      </c>
      <c r="BH15" s="539">
        <f t="shared" si="73"/>
        <v>779</v>
      </c>
      <c r="BI15" s="539">
        <f t="shared" si="73"/>
        <v>881</v>
      </c>
      <c r="BJ15" s="539" t="s">
        <v>249</v>
      </c>
      <c r="BK15" s="539">
        <f t="shared" ref="BK15:BN15" si="74">SUM(BK16:BK18)</f>
        <v>4097</v>
      </c>
      <c r="BL15" s="539">
        <f t="shared" si="74"/>
        <v>2097</v>
      </c>
      <c r="BM15" s="539">
        <f t="shared" si="74"/>
        <v>925</v>
      </c>
      <c r="BN15" s="539">
        <f t="shared" si="74"/>
        <v>1062</v>
      </c>
      <c r="BO15" s="539" t="s">
        <v>249</v>
      </c>
      <c r="BP15" s="539">
        <f t="shared" ref="BP15:BS15" si="75">SUM(BP16:BP18)</f>
        <v>4083</v>
      </c>
      <c r="BQ15" s="539">
        <f t="shared" si="75"/>
        <v>2043</v>
      </c>
      <c r="BR15" s="539">
        <f t="shared" si="75"/>
        <v>916</v>
      </c>
      <c r="BS15" s="539">
        <f t="shared" si="75"/>
        <v>1103</v>
      </c>
      <c r="BT15" s="539" t="s">
        <v>249</v>
      </c>
      <c r="BU15" s="362">
        <f t="shared" ref="BU15:BX15" si="76">SUM(BU16:BU18)</f>
        <v>14497</v>
      </c>
      <c r="BV15" s="539">
        <f t="shared" si="76"/>
        <v>7299</v>
      </c>
      <c r="BW15" s="539">
        <f t="shared" si="76"/>
        <v>3411</v>
      </c>
      <c r="BX15" s="539">
        <f t="shared" si="76"/>
        <v>3734</v>
      </c>
      <c r="BY15" s="539" t="s">
        <v>249</v>
      </c>
      <c r="BZ15" s="539">
        <f t="shared" ref="BZ15:CC15" si="77">SUM(BZ16:BZ18)</f>
        <v>3851</v>
      </c>
      <c r="CA15" s="539">
        <f t="shared" si="77"/>
        <v>1992</v>
      </c>
      <c r="CB15" s="539">
        <f t="shared" si="77"/>
        <v>844</v>
      </c>
      <c r="CC15" s="539">
        <f t="shared" si="77"/>
        <v>993</v>
      </c>
      <c r="CD15" s="539" t="s">
        <v>249</v>
      </c>
      <c r="CE15" s="539">
        <f t="shared" ref="CE15:CH15" si="78">SUM(CE16:CE18)</f>
        <v>3759</v>
      </c>
      <c r="CF15" s="539">
        <f t="shared" si="78"/>
        <v>2254</v>
      </c>
      <c r="CG15" s="539">
        <f t="shared" si="78"/>
        <v>770</v>
      </c>
      <c r="CH15" s="539">
        <f t="shared" si="78"/>
        <v>721</v>
      </c>
      <c r="CI15" s="539" t="s">
        <v>249</v>
      </c>
      <c r="CJ15" s="539">
        <f t="shared" ref="CJ15:CR15" si="79">SUM(CJ16:CJ18)</f>
        <v>5450</v>
      </c>
      <c r="CK15" s="539">
        <f t="shared" si="79"/>
        <v>3290</v>
      </c>
      <c r="CL15" s="539">
        <f t="shared" si="79"/>
        <v>989</v>
      </c>
      <c r="CM15" s="539">
        <f t="shared" si="79"/>
        <v>1150</v>
      </c>
      <c r="CN15" s="539" t="s">
        <v>249</v>
      </c>
      <c r="CO15" s="539">
        <f t="shared" si="79"/>
        <v>5946</v>
      </c>
      <c r="CP15" s="539">
        <f t="shared" si="79"/>
        <v>3815</v>
      </c>
      <c r="CQ15" s="539">
        <f t="shared" si="79"/>
        <v>970</v>
      </c>
      <c r="CR15" s="539">
        <f t="shared" si="79"/>
        <v>1139</v>
      </c>
      <c r="CS15" s="539" t="s">
        <v>249</v>
      </c>
      <c r="CT15" s="362">
        <f t="shared" ref="CT15:CW15" si="80">SUM(CT16:CT18)</f>
        <v>19006</v>
      </c>
      <c r="CU15" s="539">
        <f t="shared" si="80"/>
        <v>11351</v>
      </c>
      <c r="CV15" s="539">
        <f t="shared" si="80"/>
        <v>3573</v>
      </c>
      <c r="CW15" s="539">
        <f t="shared" si="80"/>
        <v>4003</v>
      </c>
      <c r="CX15" s="539" t="s">
        <v>249</v>
      </c>
      <c r="CY15" s="539">
        <f t="shared" ref="CY15:DB15" si="81">SUM(CY16:CY18)</f>
        <v>4797</v>
      </c>
      <c r="CZ15" s="539">
        <f t="shared" si="81"/>
        <v>2991</v>
      </c>
      <c r="DA15" s="539">
        <f t="shared" si="81"/>
        <v>828</v>
      </c>
      <c r="DB15" s="539">
        <f t="shared" si="81"/>
        <v>960</v>
      </c>
      <c r="DC15" s="539" t="s">
        <v>249</v>
      </c>
      <c r="DD15" s="539">
        <f t="shared" ref="DD15:DG15" si="82">SUM(DD16:DD18)</f>
        <v>4727</v>
      </c>
      <c r="DE15" s="539">
        <f t="shared" si="82"/>
        <v>2817</v>
      </c>
      <c r="DF15" s="539">
        <f t="shared" si="82"/>
        <v>872</v>
      </c>
      <c r="DG15" s="539">
        <f t="shared" si="82"/>
        <v>1022</v>
      </c>
      <c r="DH15" s="539" t="s">
        <v>249</v>
      </c>
      <c r="DI15" s="539">
        <v>5050</v>
      </c>
      <c r="DJ15" s="539">
        <f t="shared" ref="DJ15:DL15" si="83">SUM(DJ16:DJ18)</f>
        <v>3002</v>
      </c>
      <c r="DK15" s="539">
        <f t="shared" si="83"/>
        <v>969</v>
      </c>
      <c r="DL15" s="539">
        <f t="shared" si="83"/>
        <v>1073</v>
      </c>
      <c r="DM15" s="539" t="s">
        <v>249</v>
      </c>
      <c r="DN15" s="539">
        <f t="shared" ref="DN15:DQ15" si="84">SUM(DN16:DN18)</f>
        <v>5068</v>
      </c>
      <c r="DO15" s="539">
        <f t="shared" si="84"/>
        <v>3234</v>
      </c>
      <c r="DP15" s="539">
        <f t="shared" si="84"/>
        <v>854</v>
      </c>
      <c r="DQ15" s="539">
        <f t="shared" si="84"/>
        <v>964</v>
      </c>
      <c r="DR15" s="539" t="s">
        <v>249</v>
      </c>
      <c r="DS15" s="362">
        <f t="shared" ref="DS15:DV15" si="85">SUM(DS16:DS18)</f>
        <v>19642</v>
      </c>
      <c r="DT15" s="539">
        <f t="shared" si="85"/>
        <v>12044</v>
      </c>
      <c r="DU15" s="539">
        <f t="shared" si="85"/>
        <v>3523</v>
      </c>
      <c r="DV15" s="539">
        <f t="shared" si="85"/>
        <v>4019</v>
      </c>
      <c r="DW15" s="539" t="s">
        <v>249</v>
      </c>
      <c r="DX15" s="539">
        <f t="shared" ref="DX15:EA15" si="86">SUM(DX16:DX18)</f>
        <v>5087</v>
      </c>
      <c r="DY15" s="539">
        <f t="shared" si="86"/>
        <v>3320</v>
      </c>
      <c r="DZ15" s="539">
        <f t="shared" si="86"/>
        <v>883</v>
      </c>
      <c r="EA15" s="539">
        <f t="shared" si="86"/>
        <v>881</v>
      </c>
      <c r="EB15" s="539" t="s">
        <v>249</v>
      </c>
      <c r="EC15" s="539">
        <f t="shared" ref="EC15:EF15" si="87">SUM(EC16:EC18)</f>
        <v>4778</v>
      </c>
      <c r="ED15" s="539">
        <f t="shared" si="87"/>
        <v>3098</v>
      </c>
      <c r="EE15" s="539">
        <f t="shared" si="87"/>
        <v>525</v>
      </c>
      <c r="EF15" s="539">
        <f t="shared" si="87"/>
        <v>1151</v>
      </c>
      <c r="EG15" s="539" t="s">
        <v>249</v>
      </c>
      <c r="EH15" s="539">
        <f t="shared" ref="EH15:EK15" si="88">SUM(EH16:EH18)</f>
        <v>5420</v>
      </c>
      <c r="EI15" s="539">
        <f t="shared" si="88"/>
        <v>3531</v>
      </c>
      <c r="EJ15" s="539">
        <f t="shared" si="88"/>
        <v>830</v>
      </c>
      <c r="EK15" s="539">
        <f t="shared" si="88"/>
        <v>1057</v>
      </c>
      <c r="EL15" s="539" t="s">
        <v>249</v>
      </c>
      <c r="EM15" s="539">
        <f t="shared" ref="EM15:EP15" si="89">SUM(EM16:EM18)</f>
        <v>5090</v>
      </c>
      <c r="EN15" s="539">
        <f t="shared" si="89"/>
        <v>3332</v>
      </c>
      <c r="EO15" s="539">
        <f t="shared" si="89"/>
        <v>965</v>
      </c>
      <c r="EP15" s="539">
        <f t="shared" si="89"/>
        <v>787</v>
      </c>
      <c r="EQ15" s="539" t="s">
        <v>249</v>
      </c>
      <c r="ER15" s="362">
        <f t="shared" ref="ER15:EU15" si="90">SUM(ER16:ER18)</f>
        <v>20375</v>
      </c>
      <c r="ES15" s="539">
        <f t="shared" si="90"/>
        <v>13281</v>
      </c>
      <c r="ET15" s="539">
        <f t="shared" si="90"/>
        <v>3203</v>
      </c>
      <c r="EU15" s="539">
        <f t="shared" si="90"/>
        <v>3876</v>
      </c>
      <c r="EV15" s="539" t="s">
        <v>249</v>
      </c>
      <c r="EW15" s="539">
        <f t="shared" ref="EW15:EZ15" si="91">SUM(EW16:EW18)</f>
        <v>4569</v>
      </c>
      <c r="EX15" s="539">
        <f t="shared" si="91"/>
        <v>2735</v>
      </c>
      <c r="EY15" s="539">
        <f t="shared" si="91"/>
        <v>810</v>
      </c>
      <c r="EZ15" s="539">
        <f t="shared" si="91"/>
        <v>1011</v>
      </c>
      <c r="FA15" s="539" t="s">
        <v>249</v>
      </c>
      <c r="FB15" s="539">
        <f t="shared" ref="FB15:FE15" si="92">SUM(FB16:FB18)</f>
        <v>0</v>
      </c>
      <c r="FC15" s="539">
        <f t="shared" si="92"/>
        <v>0</v>
      </c>
      <c r="FD15" s="539">
        <f t="shared" si="92"/>
        <v>0</v>
      </c>
      <c r="FE15" s="539">
        <f t="shared" si="92"/>
        <v>0</v>
      </c>
      <c r="FF15" s="539" t="s">
        <v>249</v>
      </c>
      <c r="FG15" s="539">
        <f t="shared" ref="FG15:FJ15" si="93">SUM(FG16:FG18)</f>
        <v>0</v>
      </c>
      <c r="FH15" s="539">
        <f t="shared" si="93"/>
        <v>0</v>
      </c>
      <c r="FI15" s="539">
        <f t="shared" si="93"/>
        <v>0</v>
      </c>
      <c r="FJ15" s="539">
        <f t="shared" si="93"/>
        <v>0</v>
      </c>
      <c r="FK15" s="539" t="s">
        <v>249</v>
      </c>
      <c r="FL15" s="539">
        <f t="shared" ref="FL15:FO15" si="94">SUM(FL16:FL18)</f>
        <v>0</v>
      </c>
      <c r="FM15" s="539">
        <f t="shared" si="94"/>
        <v>0</v>
      </c>
      <c r="FN15" s="539">
        <f t="shared" si="94"/>
        <v>0</v>
      </c>
      <c r="FO15" s="539">
        <f t="shared" si="94"/>
        <v>0</v>
      </c>
      <c r="FP15" s="539" t="s">
        <v>249</v>
      </c>
      <c r="FQ15" s="362">
        <f t="shared" ref="FQ15:FT15" si="95">SUM(FQ16:FQ18)</f>
        <v>4569</v>
      </c>
      <c r="FR15" s="539">
        <f t="shared" si="95"/>
        <v>2735</v>
      </c>
      <c r="FS15" s="539">
        <f t="shared" si="95"/>
        <v>810</v>
      </c>
      <c r="FT15" s="539">
        <f t="shared" si="95"/>
        <v>1011</v>
      </c>
      <c r="FU15" s="539" t="s">
        <v>249</v>
      </c>
    </row>
    <row r="16" spans="2:179">
      <c r="B16" s="540" t="str">
        <f>names!$A756</f>
        <v>- olej napędowy</v>
      </c>
      <c r="C16" s="541">
        <v>3505</v>
      </c>
      <c r="D16" s="541">
        <v>1766</v>
      </c>
      <c r="E16" s="541">
        <v>825</v>
      </c>
      <c r="F16" s="541">
        <v>919</v>
      </c>
      <c r="G16" s="541" t="s">
        <v>249</v>
      </c>
      <c r="H16" s="541">
        <v>3661</v>
      </c>
      <c r="I16" s="541">
        <v>1812</v>
      </c>
      <c r="J16" s="541">
        <v>844</v>
      </c>
      <c r="K16" s="541">
        <v>1009</v>
      </c>
      <c r="L16" s="541" t="s">
        <v>249</v>
      </c>
      <c r="M16" s="541">
        <v>3803</v>
      </c>
      <c r="N16" s="541">
        <v>1793</v>
      </c>
      <c r="O16" s="541">
        <v>967</v>
      </c>
      <c r="P16" s="541">
        <v>1042</v>
      </c>
      <c r="Q16" s="541" t="s">
        <v>249</v>
      </c>
      <c r="R16" s="541">
        <v>3663</v>
      </c>
      <c r="S16" s="541">
        <v>1750</v>
      </c>
      <c r="T16" s="541">
        <v>918</v>
      </c>
      <c r="U16" s="541">
        <v>993</v>
      </c>
      <c r="V16" s="541" t="s">
        <v>249</v>
      </c>
      <c r="W16" s="542">
        <f t="shared" ref="W16:Z18" si="96">SUM(C16,H16,M16,R16)</f>
        <v>14632</v>
      </c>
      <c r="X16" s="541">
        <f t="shared" si="96"/>
        <v>7121</v>
      </c>
      <c r="Y16" s="541">
        <f t="shared" si="96"/>
        <v>3554</v>
      </c>
      <c r="Z16" s="541">
        <f t="shared" si="96"/>
        <v>3963</v>
      </c>
      <c r="AA16" s="541" t="s">
        <v>249</v>
      </c>
      <c r="AB16" s="541">
        <v>3357</v>
      </c>
      <c r="AC16" s="541">
        <v>1755</v>
      </c>
      <c r="AD16" s="541">
        <v>774</v>
      </c>
      <c r="AE16" s="541">
        <v>829</v>
      </c>
      <c r="AF16" s="541" t="s">
        <v>249</v>
      </c>
      <c r="AG16" s="541">
        <v>2909</v>
      </c>
      <c r="AH16" s="541">
        <v>1679</v>
      </c>
      <c r="AI16" s="541">
        <v>374</v>
      </c>
      <c r="AJ16" s="541">
        <v>861</v>
      </c>
      <c r="AK16" s="541" t="s">
        <v>249</v>
      </c>
      <c r="AL16" s="541">
        <v>3694</v>
      </c>
      <c r="AM16" s="541">
        <v>1918</v>
      </c>
      <c r="AN16" s="541">
        <v>903</v>
      </c>
      <c r="AO16" s="541">
        <v>871</v>
      </c>
      <c r="AP16" s="541" t="s">
        <v>249</v>
      </c>
      <c r="AQ16" s="541">
        <v>3206</v>
      </c>
      <c r="AR16" s="541">
        <v>1566</v>
      </c>
      <c r="AS16" s="541">
        <v>816</v>
      </c>
      <c r="AT16" s="541">
        <v>823</v>
      </c>
      <c r="AU16" s="541" t="s">
        <v>249</v>
      </c>
      <c r="AV16" s="542">
        <f t="shared" ref="AV16:AY18" si="97">SUM(AB16,AG16,AL16,AQ16)</f>
        <v>13166</v>
      </c>
      <c r="AW16" s="541">
        <f t="shared" si="97"/>
        <v>6918</v>
      </c>
      <c r="AX16" s="541">
        <f t="shared" si="97"/>
        <v>2867</v>
      </c>
      <c r="AY16" s="541">
        <f t="shared" si="97"/>
        <v>3384</v>
      </c>
      <c r="AZ16" s="541" t="s">
        <v>249</v>
      </c>
      <c r="BA16" s="541">
        <v>2738</v>
      </c>
      <c r="BB16" s="541">
        <v>1310</v>
      </c>
      <c r="BC16" s="541">
        <v>777</v>
      </c>
      <c r="BD16" s="541">
        <v>651</v>
      </c>
      <c r="BE16" s="541" t="s">
        <v>249</v>
      </c>
      <c r="BF16" s="541">
        <v>3294</v>
      </c>
      <c r="BG16" s="541">
        <v>1689</v>
      </c>
      <c r="BH16" s="541">
        <v>768</v>
      </c>
      <c r="BI16" s="541">
        <v>850</v>
      </c>
      <c r="BJ16" s="541" t="s">
        <v>249</v>
      </c>
      <c r="BK16" s="541">
        <v>3789</v>
      </c>
      <c r="BL16" s="541">
        <v>1918</v>
      </c>
      <c r="BM16" s="541">
        <v>900</v>
      </c>
      <c r="BN16" s="541">
        <v>969</v>
      </c>
      <c r="BO16" s="541" t="s">
        <v>249</v>
      </c>
      <c r="BP16" s="541">
        <v>3790</v>
      </c>
      <c r="BQ16" s="541">
        <v>1881</v>
      </c>
      <c r="BR16" s="541">
        <v>882</v>
      </c>
      <c r="BS16" s="541">
        <v>1028</v>
      </c>
      <c r="BT16" s="541" t="s">
        <v>249</v>
      </c>
      <c r="BU16" s="542">
        <f t="shared" ref="BU16:BX18" si="98">SUM(BA16,BF16,BK16,BP16)</f>
        <v>13611</v>
      </c>
      <c r="BV16" s="541">
        <f t="shared" si="98"/>
        <v>6798</v>
      </c>
      <c r="BW16" s="541">
        <f t="shared" si="98"/>
        <v>3327</v>
      </c>
      <c r="BX16" s="541">
        <f t="shared" si="98"/>
        <v>3498</v>
      </c>
      <c r="BY16" s="541" t="s">
        <v>249</v>
      </c>
      <c r="BZ16" s="541">
        <v>3609</v>
      </c>
      <c r="CA16" s="541">
        <v>1842</v>
      </c>
      <c r="CB16" s="541">
        <v>813</v>
      </c>
      <c r="CC16" s="541">
        <v>952</v>
      </c>
      <c r="CD16" s="541" t="s">
        <v>249</v>
      </c>
      <c r="CE16" s="541">
        <v>3429</v>
      </c>
      <c r="CF16" s="541">
        <v>2028</v>
      </c>
      <c r="CG16" s="541">
        <v>738</v>
      </c>
      <c r="CH16" s="541">
        <v>661</v>
      </c>
      <c r="CI16" s="541" t="s">
        <v>249</v>
      </c>
      <c r="CJ16" s="541">
        <v>4967</v>
      </c>
      <c r="CK16" s="541">
        <v>2931</v>
      </c>
      <c r="CL16" s="541">
        <v>946</v>
      </c>
      <c r="CM16" s="541">
        <v>1089</v>
      </c>
      <c r="CN16" s="541" t="s">
        <v>249</v>
      </c>
      <c r="CO16" s="541">
        <v>5470</v>
      </c>
      <c r="CP16" s="541">
        <v>3438</v>
      </c>
      <c r="CQ16" s="541">
        <v>943</v>
      </c>
      <c r="CR16" s="541">
        <v>1089</v>
      </c>
      <c r="CS16" s="541" t="s">
        <v>249</v>
      </c>
      <c r="CT16" s="542">
        <f t="shared" ref="CT16:CT18" si="99">SUM(BZ16,CE16,CJ16,CO16)</f>
        <v>17475</v>
      </c>
      <c r="CU16" s="541">
        <f t="shared" ref="CU16:CU18" si="100">SUM(CA16,CF16,CK16,CP16)</f>
        <v>10239</v>
      </c>
      <c r="CV16" s="541">
        <f t="shared" ref="CV16:CV18" si="101">SUM(CB16,CG16,CL16,CQ16)</f>
        <v>3440</v>
      </c>
      <c r="CW16" s="541">
        <f t="shared" ref="CW16:CW18" si="102">SUM(CC16,CH16,CM16,CR16)</f>
        <v>3791</v>
      </c>
      <c r="CX16" s="541" t="s">
        <v>249</v>
      </c>
      <c r="CY16" s="541">
        <v>4458</v>
      </c>
      <c r="CZ16" s="541">
        <v>2754</v>
      </c>
      <c r="DA16" s="541">
        <v>792</v>
      </c>
      <c r="DB16" s="541">
        <v>912</v>
      </c>
      <c r="DC16" s="541" t="s">
        <v>249</v>
      </c>
      <c r="DD16" s="541">
        <v>4285</v>
      </c>
      <c r="DE16" s="541">
        <v>2526</v>
      </c>
      <c r="DF16" s="541">
        <v>809</v>
      </c>
      <c r="DG16" s="541">
        <v>947</v>
      </c>
      <c r="DH16" s="541" t="s">
        <v>249</v>
      </c>
      <c r="DI16" s="541">
        <v>4537</v>
      </c>
      <c r="DJ16" s="541">
        <v>2656</v>
      </c>
      <c r="DK16" s="541">
        <v>895</v>
      </c>
      <c r="DL16" s="541">
        <v>995</v>
      </c>
      <c r="DM16" s="541" t="s">
        <v>249</v>
      </c>
      <c r="DN16" s="541">
        <v>4632</v>
      </c>
      <c r="DO16" s="541">
        <v>2935</v>
      </c>
      <c r="DP16" s="541">
        <v>792</v>
      </c>
      <c r="DQ16" s="541">
        <v>912</v>
      </c>
      <c r="DR16" s="541" t="s">
        <v>249</v>
      </c>
      <c r="DS16" s="542">
        <f t="shared" ref="DS16:DS18" si="103">SUM(CY16,DD16,DI16,DN16)</f>
        <v>17912</v>
      </c>
      <c r="DT16" s="541">
        <f t="shared" ref="DT16:DT18" si="104">SUM(CZ16,DE16,DJ16,DO16)</f>
        <v>10871</v>
      </c>
      <c r="DU16" s="541">
        <f t="shared" ref="DU16:DU18" si="105">SUM(DA16,DF16,DK16,DP16)</f>
        <v>3288</v>
      </c>
      <c r="DV16" s="541">
        <f t="shared" ref="DV16:DV18" si="106">SUM(DB16,DG16,DL16,DQ16)</f>
        <v>3766</v>
      </c>
      <c r="DW16" s="541" t="s">
        <v>249</v>
      </c>
      <c r="DX16" s="541">
        <v>4696</v>
      </c>
      <c r="DY16" s="541">
        <v>3055</v>
      </c>
      <c r="DZ16" s="541">
        <v>823</v>
      </c>
      <c r="EA16" s="541">
        <v>831</v>
      </c>
      <c r="EB16" s="541" t="s">
        <v>249</v>
      </c>
      <c r="EC16" s="541">
        <v>4303</v>
      </c>
      <c r="ED16" s="541">
        <v>2775</v>
      </c>
      <c r="EE16" s="541">
        <v>467</v>
      </c>
      <c r="EF16" s="541">
        <v>1073</v>
      </c>
      <c r="EG16" s="541" t="s">
        <v>249</v>
      </c>
      <c r="EH16" s="541">
        <v>4849</v>
      </c>
      <c r="EI16" s="541">
        <v>3131</v>
      </c>
      <c r="EJ16" s="541">
        <v>739</v>
      </c>
      <c r="EK16" s="541">
        <v>987</v>
      </c>
      <c r="EL16" s="541" t="s">
        <v>249</v>
      </c>
      <c r="EM16" s="541">
        <v>4608</v>
      </c>
      <c r="EN16" s="541">
        <v>3000</v>
      </c>
      <c r="EO16" s="541">
        <v>889</v>
      </c>
      <c r="EP16" s="541">
        <v>731</v>
      </c>
      <c r="EQ16" s="541" t="s">
        <v>249</v>
      </c>
      <c r="ER16" s="542">
        <f t="shared" ref="ER16:ER18" si="107">SUM(DX16,EC16,EH16,EM16)</f>
        <v>18456</v>
      </c>
      <c r="ES16" s="541">
        <f t="shared" ref="ES16:ES18" si="108">SUM(DY16,ED16,EI16,EN16)</f>
        <v>11961</v>
      </c>
      <c r="ET16" s="541">
        <f t="shared" ref="ET16:ET18" si="109">SUM(DZ16,EE16,EJ16,EO16)</f>
        <v>2918</v>
      </c>
      <c r="EU16" s="541">
        <f t="shared" ref="EU16:EU18" si="110">SUM(EA16,EF16,EK16,EP16)</f>
        <v>3622</v>
      </c>
      <c r="EV16" s="541" t="s">
        <v>249</v>
      </c>
      <c r="EW16" s="541">
        <v>4141</v>
      </c>
      <c r="EX16" s="541">
        <v>2441</v>
      </c>
      <c r="EY16" s="541">
        <v>749</v>
      </c>
      <c r="EZ16" s="541">
        <v>956</v>
      </c>
      <c r="FA16" s="541" t="s">
        <v>249</v>
      </c>
      <c r="FB16" s="541"/>
      <c r="FC16" s="541"/>
      <c r="FD16" s="541"/>
      <c r="FE16" s="541"/>
      <c r="FF16" s="541"/>
      <c r="FG16" s="541"/>
      <c r="FH16" s="541"/>
      <c r="FI16" s="541"/>
      <c r="FJ16" s="541"/>
      <c r="FK16" s="541"/>
      <c r="FL16" s="541"/>
      <c r="FM16" s="541"/>
      <c r="FN16" s="541"/>
      <c r="FO16" s="541"/>
      <c r="FP16" s="541"/>
      <c r="FQ16" s="542">
        <f t="shared" ref="FQ16:FQ18" si="111">SUM(EW16,FB16,FG16,FL16)</f>
        <v>4141</v>
      </c>
      <c r="FR16" s="541">
        <f t="shared" ref="FR16:FR18" si="112">SUM(EX16,FC16,FH16,FM16)</f>
        <v>2441</v>
      </c>
      <c r="FS16" s="541">
        <f t="shared" ref="FS16:FS18" si="113">SUM(EY16,FD16,FI16,FN16)</f>
        <v>749</v>
      </c>
      <c r="FT16" s="541">
        <f t="shared" ref="FT16:FT18" si="114">SUM(EZ16,FE16,FJ16,FO16)</f>
        <v>956</v>
      </c>
      <c r="FU16" s="541" t="s">
        <v>249</v>
      </c>
    </row>
    <row r="17" spans="2:179">
      <c r="B17" s="540" t="str">
        <f>names!$A757</f>
        <v>- lekki olej opałowy</v>
      </c>
      <c r="C17" s="541">
        <v>79</v>
      </c>
      <c r="D17" s="541">
        <v>60</v>
      </c>
      <c r="E17" s="541">
        <v>5</v>
      </c>
      <c r="F17" s="541">
        <v>2</v>
      </c>
      <c r="G17" s="541" t="s">
        <v>249</v>
      </c>
      <c r="H17" s="541">
        <v>25</v>
      </c>
      <c r="I17" s="541">
        <v>12</v>
      </c>
      <c r="J17" s="541">
        <v>5</v>
      </c>
      <c r="K17" s="541">
        <v>1</v>
      </c>
      <c r="L17" s="541" t="s">
        <v>249</v>
      </c>
      <c r="M17" s="541">
        <v>56</v>
      </c>
      <c r="N17" s="541">
        <v>26</v>
      </c>
      <c r="O17" s="541">
        <v>10</v>
      </c>
      <c r="P17" s="541">
        <v>6</v>
      </c>
      <c r="Q17" s="541" t="s">
        <v>249</v>
      </c>
      <c r="R17" s="541">
        <v>56</v>
      </c>
      <c r="S17" s="541">
        <v>38</v>
      </c>
      <c r="T17" s="541">
        <v>6</v>
      </c>
      <c r="U17" s="541">
        <v>4</v>
      </c>
      <c r="V17" s="541" t="s">
        <v>249</v>
      </c>
      <c r="W17" s="542">
        <f t="shared" si="96"/>
        <v>216</v>
      </c>
      <c r="X17" s="541">
        <f t="shared" si="96"/>
        <v>136</v>
      </c>
      <c r="Y17" s="541">
        <f t="shared" si="96"/>
        <v>26</v>
      </c>
      <c r="Z17" s="541">
        <f t="shared" si="96"/>
        <v>13</v>
      </c>
      <c r="AA17" s="541" t="s">
        <v>249</v>
      </c>
      <c r="AB17" s="541">
        <v>71</v>
      </c>
      <c r="AC17" s="541">
        <v>42</v>
      </c>
      <c r="AD17" s="541">
        <v>5</v>
      </c>
      <c r="AE17" s="541">
        <v>3</v>
      </c>
      <c r="AF17" s="541" t="s">
        <v>249</v>
      </c>
      <c r="AG17" s="541">
        <v>36</v>
      </c>
      <c r="AH17" s="541">
        <v>18</v>
      </c>
      <c r="AI17" s="541">
        <v>2</v>
      </c>
      <c r="AJ17" s="541">
        <v>4</v>
      </c>
      <c r="AK17" s="541" t="s">
        <v>249</v>
      </c>
      <c r="AL17" s="541">
        <v>39</v>
      </c>
      <c r="AM17" s="541">
        <v>20</v>
      </c>
      <c r="AN17" s="541">
        <v>3</v>
      </c>
      <c r="AO17" s="541">
        <v>5</v>
      </c>
      <c r="AP17" s="541" t="s">
        <v>249</v>
      </c>
      <c r="AQ17" s="541">
        <v>54</v>
      </c>
      <c r="AR17" s="541">
        <v>30</v>
      </c>
      <c r="AS17" s="541">
        <v>8</v>
      </c>
      <c r="AT17" s="541">
        <v>4</v>
      </c>
      <c r="AU17" s="541" t="s">
        <v>249</v>
      </c>
      <c r="AV17" s="542">
        <f t="shared" si="97"/>
        <v>200</v>
      </c>
      <c r="AW17" s="541">
        <f t="shared" si="97"/>
        <v>110</v>
      </c>
      <c r="AX17" s="541">
        <f t="shared" si="97"/>
        <v>18</v>
      </c>
      <c r="AY17" s="541">
        <f t="shared" si="97"/>
        <v>16</v>
      </c>
      <c r="AZ17" s="541" t="s">
        <v>249</v>
      </c>
      <c r="BA17" s="541">
        <v>76</v>
      </c>
      <c r="BB17" s="541">
        <v>50</v>
      </c>
      <c r="BC17" s="541">
        <v>5</v>
      </c>
      <c r="BD17" s="541">
        <v>4</v>
      </c>
      <c r="BE17" s="541" t="s">
        <v>249</v>
      </c>
      <c r="BF17" s="541">
        <v>25</v>
      </c>
      <c r="BG17" s="541">
        <v>9</v>
      </c>
      <c r="BH17" s="541" t="s">
        <v>249</v>
      </c>
      <c r="BI17" s="541">
        <v>3</v>
      </c>
      <c r="BJ17" s="541" t="s">
        <v>249</v>
      </c>
      <c r="BK17" s="541">
        <v>41</v>
      </c>
      <c r="BL17" s="541">
        <v>18</v>
      </c>
      <c r="BM17" s="541">
        <v>6</v>
      </c>
      <c r="BN17" s="541">
        <v>7</v>
      </c>
      <c r="BO17" s="541" t="s">
        <v>249</v>
      </c>
      <c r="BP17" s="541">
        <v>80</v>
      </c>
      <c r="BQ17" s="541">
        <v>41</v>
      </c>
      <c r="BR17" s="541">
        <v>11</v>
      </c>
      <c r="BS17" s="541">
        <v>6</v>
      </c>
      <c r="BT17" s="541" t="s">
        <v>249</v>
      </c>
      <c r="BU17" s="542">
        <f t="shared" si="98"/>
        <v>222</v>
      </c>
      <c r="BV17" s="541">
        <f t="shared" si="98"/>
        <v>118</v>
      </c>
      <c r="BW17" s="541">
        <f t="shared" si="98"/>
        <v>22</v>
      </c>
      <c r="BX17" s="541">
        <f t="shared" si="98"/>
        <v>20</v>
      </c>
      <c r="BY17" s="541" t="s">
        <v>249</v>
      </c>
      <c r="BZ17" s="541">
        <v>54</v>
      </c>
      <c r="CA17" s="541">
        <v>24</v>
      </c>
      <c r="CB17" s="541">
        <v>5</v>
      </c>
      <c r="CC17" s="541">
        <v>5</v>
      </c>
      <c r="CD17" s="541" t="s">
        <v>249</v>
      </c>
      <c r="CE17" s="541">
        <v>48</v>
      </c>
      <c r="CF17" s="541">
        <v>28</v>
      </c>
      <c r="CG17" s="541">
        <v>3</v>
      </c>
      <c r="CH17" s="541">
        <v>4</v>
      </c>
      <c r="CI17" s="541" t="s">
        <v>249</v>
      </c>
      <c r="CJ17" s="541">
        <v>76</v>
      </c>
      <c r="CK17" s="541">
        <v>45</v>
      </c>
      <c r="CL17" s="541">
        <v>3</v>
      </c>
      <c r="CM17" s="541">
        <v>8</v>
      </c>
      <c r="CN17" s="541" t="s">
        <v>249</v>
      </c>
      <c r="CO17" s="541">
        <v>151</v>
      </c>
      <c r="CP17" s="541">
        <v>108</v>
      </c>
      <c r="CQ17" s="541">
        <v>4</v>
      </c>
      <c r="CR17" s="541">
        <v>16</v>
      </c>
      <c r="CS17" s="541" t="s">
        <v>249</v>
      </c>
      <c r="CT17" s="542">
        <f t="shared" si="99"/>
        <v>329</v>
      </c>
      <c r="CU17" s="541">
        <f t="shared" si="100"/>
        <v>205</v>
      </c>
      <c r="CV17" s="541">
        <f t="shared" si="101"/>
        <v>15</v>
      </c>
      <c r="CW17" s="541">
        <f t="shared" si="102"/>
        <v>33</v>
      </c>
      <c r="CX17" s="541" t="s">
        <v>249</v>
      </c>
      <c r="CY17" s="541">
        <v>66</v>
      </c>
      <c r="CZ17" s="541">
        <v>33</v>
      </c>
      <c r="DA17" s="541">
        <v>5</v>
      </c>
      <c r="DB17" s="541">
        <v>10</v>
      </c>
      <c r="DC17" s="541" t="s">
        <v>249</v>
      </c>
      <c r="DD17" s="541">
        <v>28</v>
      </c>
      <c r="DE17" s="541">
        <v>4</v>
      </c>
      <c r="DF17" s="541">
        <v>6</v>
      </c>
      <c r="DG17" s="541">
        <v>5</v>
      </c>
      <c r="DH17" s="541" t="s">
        <v>249</v>
      </c>
      <c r="DI17" s="541">
        <v>30</v>
      </c>
      <c r="DJ17" s="541">
        <v>5</v>
      </c>
      <c r="DK17" s="541">
        <v>3</v>
      </c>
      <c r="DL17" s="541">
        <v>7</v>
      </c>
      <c r="DM17" s="541" t="s">
        <v>249</v>
      </c>
      <c r="DN17" s="541">
        <v>66</v>
      </c>
      <c r="DO17" s="541">
        <v>27</v>
      </c>
      <c r="DP17" s="541">
        <v>6</v>
      </c>
      <c r="DQ17" s="541">
        <v>10</v>
      </c>
      <c r="DR17" s="541" t="s">
        <v>249</v>
      </c>
      <c r="DS17" s="542">
        <f t="shared" si="103"/>
        <v>190</v>
      </c>
      <c r="DT17" s="541">
        <f t="shared" si="104"/>
        <v>69</v>
      </c>
      <c r="DU17" s="541">
        <f t="shared" si="105"/>
        <v>20</v>
      </c>
      <c r="DV17" s="541">
        <f t="shared" si="106"/>
        <v>32</v>
      </c>
      <c r="DW17" s="541" t="s">
        <v>249</v>
      </c>
      <c r="DX17" s="541">
        <v>53</v>
      </c>
      <c r="DY17" s="541">
        <v>32</v>
      </c>
      <c r="DZ17" s="541">
        <v>0</v>
      </c>
      <c r="EA17" s="541">
        <v>6</v>
      </c>
      <c r="EB17" s="541" t="s">
        <v>249</v>
      </c>
      <c r="EC17" s="541">
        <v>20</v>
      </c>
      <c r="ED17" s="541">
        <v>1</v>
      </c>
      <c r="EE17" s="541">
        <v>0</v>
      </c>
      <c r="EF17" s="541">
        <v>4</v>
      </c>
      <c r="EG17" s="541" t="s">
        <v>249</v>
      </c>
      <c r="EH17" s="541">
        <v>24</v>
      </c>
      <c r="EI17" s="541">
        <v>4</v>
      </c>
      <c r="EJ17" s="541">
        <v>0</v>
      </c>
      <c r="EK17" s="541">
        <v>9</v>
      </c>
      <c r="EL17" s="541" t="s">
        <v>249</v>
      </c>
      <c r="EM17" s="541">
        <v>44</v>
      </c>
      <c r="EN17" s="541">
        <v>18</v>
      </c>
      <c r="EO17" s="541">
        <v>0</v>
      </c>
      <c r="EP17" s="541">
        <v>9</v>
      </c>
      <c r="EQ17" s="541" t="s">
        <v>249</v>
      </c>
      <c r="ER17" s="542">
        <f t="shared" si="107"/>
        <v>141</v>
      </c>
      <c r="ES17" s="541">
        <f t="shared" si="108"/>
        <v>55</v>
      </c>
      <c r="ET17" s="541">
        <f t="shared" si="109"/>
        <v>0</v>
      </c>
      <c r="EU17" s="541">
        <f t="shared" si="110"/>
        <v>28</v>
      </c>
      <c r="EV17" s="541" t="s">
        <v>249</v>
      </c>
      <c r="EW17" s="541">
        <v>46</v>
      </c>
      <c r="EX17" s="541">
        <v>23</v>
      </c>
      <c r="EY17" s="541">
        <v>0</v>
      </c>
      <c r="EZ17" s="541">
        <v>4</v>
      </c>
      <c r="FA17" s="541" t="s">
        <v>249</v>
      </c>
      <c r="FB17" s="541"/>
      <c r="FC17" s="541"/>
      <c r="FD17" s="541"/>
      <c r="FE17" s="541"/>
      <c r="FF17" s="541"/>
      <c r="FG17" s="541"/>
      <c r="FH17" s="541"/>
      <c r="FI17" s="541"/>
      <c r="FJ17" s="541"/>
      <c r="FK17" s="541"/>
      <c r="FL17" s="541"/>
      <c r="FM17" s="541"/>
      <c r="FN17" s="541"/>
      <c r="FO17" s="541"/>
      <c r="FP17" s="541"/>
      <c r="FQ17" s="542">
        <f t="shared" si="111"/>
        <v>46</v>
      </c>
      <c r="FR17" s="541">
        <f t="shared" si="112"/>
        <v>23</v>
      </c>
      <c r="FS17" s="541">
        <f t="shared" si="113"/>
        <v>0</v>
      </c>
      <c r="FT17" s="541">
        <f t="shared" si="114"/>
        <v>4</v>
      </c>
      <c r="FU17" s="541" t="s">
        <v>249</v>
      </c>
    </row>
    <row r="18" spans="2:179">
      <c r="B18" s="543" t="str">
        <f>names!$A758</f>
        <v>- paliwo lotnicze</v>
      </c>
      <c r="C18" s="544">
        <v>283</v>
      </c>
      <c r="D18" s="544">
        <v>183</v>
      </c>
      <c r="E18" s="544">
        <v>36</v>
      </c>
      <c r="F18" s="544">
        <v>65</v>
      </c>
      <c r="G18" s="544" t="s">
        <v>249</v>
      </c>
      <c r="H18" s="544">
        <v>391</v>
      </c>
      <c r="I18" s="544">
        <v>232</v>
      </c>
      <c r="J18" s="544">
        <v>55</v>
      </c>
      <c r="K18" s="544">
        <v>104</v>
      </c>
      <c r="L18" s="544" t="s">
        <v>249</v>
      </c>
      <c r="M18" s="544">
        <v>426</v>
      </c>
      <c r="N18" s="544">
        <v>244</v>
      </c>
      <c r="O18" s="544">
        <v>72</v>
      </c>
      <c r="P18" s="544">
        <v>110</v>
      </c>
      <c r="Q18" s="544" t="s">
        <v>249</v>
      </c>
      <c r="R18" s="544">
        <v>341</v>
      </c>
      <c r="S18" s="544">
        <v>216</v>
      </c>
      <c r="T18" s="544">
        <v>52</v>
      </c>
      <c r="U18" s="544">
        <v>72</v>
      </c>
      <c r="V18" s="544" t="s">
        <v>249</v>
      </c>
      <c r="W18" s="545">
        <f t="shared" si="96"/>
        <v>1441</v>
      </c>
      <c r="X18" s="544">
        <f t="shared" si="96"/>
        <v>875</v>
      </c>
      <c r="Y18" s="544">
        <f t="shared" si="96"/>
        <v>215</v>
      </c>
      <c r="Z18" s="544">
        <f t="shared" si="96"/>
        <v>351</v>
      </c>
      <c r="AA18" s="544" t="s">
        <v>249</v>
      </c>
      <c r="AB18" s="544">
        <v>247</v>
      </c>
      <c r="AC18" s="544">
        <v>147</v>
      </c>
      <c r="AD18" s="544">
        <v>34</v>
      </c>
      <c r="AE18" s="544">
        <v>66</v>
      </c>
      <c r="AF18" s="544" t="s">
        <v>249</v>
      </c>
      <c r="AG18" s="544">
        <v>49</v>
      </c>
      <c r="AH18" s="544">
        <v>34</v>
      </c>
      <c r="AI18" s="544" t="s">
        <v>249</v>
      </c>
      <c r="AJ18" s="544">
        <v>15</v>
      </c>
      <c r="AK18" s="544" t="s">
        <v>249</v>
      </c>
      <c r="AL18" s="544">
        <v>183</v>
      </c>
      <c r="AM18" s="544">
        <v>121</v>
      </c>
      <c r="AN18" s="544">
        <v>10</v>
      </c>
      <c r="AO18" s="544">
        <v>52</v>
      </c>
      <c r="AP18" s="544" t="s">
        <v>249</v>
      </c>
      <c r="AQ18" s="544">
        <v>94</v>
      </c>
      <c r="AR18" s="544">
        <v>69</v>
      </c>
      <c r="AS18" s="544">
        <v>3</v>
      </c>
      <c r="AT18" s="544">
        <v>22</v>
      </c>
      <c r="AU18" s="544" t="s">
        <v>249</v>
      </c>
      <c r="AV18" s="545">
        <f t="shared" si="97"/>
        <v>573</v>
      </c>
      <c r="AW18" s="544">
        <f t="shared" si="97"/>
        <v>371</v>
      </c>
      <c r="AX18" s="544">
        <f t="shared" si="97"/>
        <v>47</v>
      </c>
      <c r="AY18" s="544">
        <f t="shared" si="97"/>
        <v>155</v>
      </c>
      <c r="AZ18" s="544" t="s">
        <v>249</v>
      </c>
      <c r="BA18" s="544">
        <v>56</v>
      </c>
      <c r="BB18" s="544">
        <v>14</v>
      </c>
      <c r="BC18" s="544">
        <v>9</v>
      </c>
      <c r="BD18" s="544">
        <v>33</v>
      </c>
      <c r="BE18" s="544" t="s">
        <v>249</v>
      </c>
      <c r="BF18" s="544">
        <v>128</v>
      </c>
      <c r="BG18" s="544">
        <v>87</v>
      </c>
      <c r="BH18" s="544">
        <v>11</v>
      </c>
      <c r="BI18" s="544">
        <v>28</v>
      </c>
      <c r="BJ18" s="544" t="s">
        <v>249</v>
      </c>
      <c r="BK18" s="544">
        <v>267</v>
      </c>
      <c r="BL18" s="544">
        <v>161</v>
      </c>
      <c r="BM18" s="544">
        <v>19</v>
      </c>
      <c r="BN18" s="544">
        <v>86</v>
      </c>
      <c r="BO18" s="544" t="s">
        <v>249</v>
      </c>
      <c r="BP18" s="544">
        <v>213</v>
      </c>
      <c r="BQ18" s="544">
        <v>121</v>
      </c>
      <c r="BR18" s="544">
        <v>23</v>
      </c>
      <c r="BS18" s="544">
        <v>69</v>
      </c>
      <c r="BT18" s="544" t="s">
        <v>249</v>
      </c>
      <c r="BU18" s="545">
        <f t="shared" si="98"/>
        <v>664</v>
      </c>
      <c r="BV18" s="544">
        <f t="shared" si="98"/>
        <v>383</v>
      </c>
      <c r="BW18" s="544">
        <f t="shared" si="98"/>
        <v>62</v>
      </c>
      <c r="BX18" s="544">
        <f t="shared" si="98"/>
        <v>216</v>
      </c>
      <c r="BY18" s="544" t="s">
        <v>249</v>
      </c>
      <c r="BZ18" s="544">
        <v>188</v>
      </c>
      <c r="CA18" s="544">
        <v>126</v>
      </c>
      <c r="CB18" s="544">
        <v>26</v>
      </c>
      <c r="CC18" s="544">
        <v>36</v>
      </c>
      <c r="CD18" s="544" t="s">
        <v>249</v>
      </c>
      <c r="CE18" s="544">
        <v>282</v>
      </c>
      <c r="CF18" s="544">
        <v>198</v>
      </c>
      <c r="CG18" s="544">
        <v>29</v>
      </c>
      <c r="CH18" s="544">
        <v>56</v>
      </c>
      <c r="CI18" s="544" t="s">
        <v>249</v>
      </c>
      <c r="CJ18" s="544">
        <v>407</v>
      </c>
      <c r="CK18" s="544">
        <v>314</v>
      </c>
      <c r="CL18" s="544">
        <v>40</v>
      </c>
      <c r="CM18" s="544">
        <v>53</v>
      </c>
      <c r="CN18" s="544" t="s">
        <v>249</v>
      </c>
      <c r="CO18" s="544">
        <v>325</v>
      </c>
      <c r="CP18" s="544">
        <v>269</v>
      </c>
      <c r="CQ18" s="544">
        <v>23</v>
      </c>
      <c r="CR18" s="544">
        <v>34</v>
      </c>
      <c r="CS18" s="544" t="s">
        <v>249</v>
      </c>
      <c r="CT18" s="545">
        <f t="shared" si="99"/>
        <v>1202</v>
      </c>
      <c r="CU18" s="544">
        <f t="shared" si="100"/>
        <v>907</v>
      </c>
      <c r="CV18" s="544">
        <f t="shared" si="101"/>
        <v>118</v>
      </c>
      <c r="CW18" s="544">
        <f t="shared" si="102"/>
        <v>179</v>
      </c>
      <c r="CX18" s="544" t="s">
        <v>249</v>
      </c>
      <c r="CY18" s="544">
        <v>273</v>
      </c>
      <c r="CZ18" s="544">
        <v>204</v>
      </c>
      <c r="DA18" s="544">
        <v>31</v>
      </c>
      <c r="DB18" s="544">
        <v>38</v>
      </c>
      <c r="DC18" s="544" t="s">
        <v>249</v>
      </c>
      <c r="DD18" s="544">
        <v>414</v>
      </c>
      <c r="DE18" s="544">
        <v>287</v>
      </c>
      <c r="DF18" s="544">
        <v>57</v>
      </c>
      <c r="DG18" s="544">
        <v>70</v>
      </c>
      <c r="DH18" s="544" t="s">
        <v>249</v>
      </c>
      <c r="DI18" s="544">
        <v>483</v>
      </c>
      <c r="DJ18" s="544">
        <v>341</v>
      </c>
      <c r="DK18" s="544">
        <v>71</v>
      </c>
      <c r="DL18" s="544">
        <v>71</v>
      </c>
      <c r="DM18" s="544" t="s">
        <v>249</v>
      </c>
      <c r="DN18" s="544">
        <v>370</v>
      </c>
      <c r="DO18" s="544">
        <v>272</v>
      </c>
      <c r="DP18" s="544">
        <v>56</v>
      </c>
      <c r="DQ18" s="544">
        <v>42</v>
      </c>
      <c r="DR18" s="544" t="s">
        <v>249</v>
      </c>
      <c r="DS18" s="545">
        <f t="shared" si="103"/>
        <v>1540</v>
      </c>
      <c r="DT18" s="544">
        <f t="shared" si="104"/>
        <v>1104</v>
      </c>
      <c r="DU18" s="544">
        <f t="shared" si="105"/>
        <v>215</v>
      </c>
      <c r="DV18" s="544">
        <f t="shared" si="106"/>
        <v>221</v>
      </c>
      <c r="DW18" s="544" t="s">
        <v>249</v>
      </c>
      <c r="DX18" s="544">
        <v>338</v>
      </c>
      <c r="DY18" s="544">
        <v>233</v>
      </c>
      <c r="DZ18" s="544">
        <v>60</v>
      </c>
      <c r="EA18" s="544">
        <v>44</v>
      </c>
      <c r="EB18" s="544" t="s">
        <v>249</v>
      </c>
      <c r="EC18" s="544">
        <v>455</v>
      </c>
      <c r="ED18" s="544">
        <v>322</v>
      </c>
      <c r="EE18" s="544">
        <v>58</v>
      </c>
      <c r="EF18" s="544">
        <v>74</v>
      </c>
      <c r="EG18" s="544" t="s">
        <v>249</v>
      </c>
      <c r="EH18" s="544">
        <v>547</v>
      </c>
      <c r="EI18" s="544">
        <v>396</v>
      </c>
      <c r="EJ18" s="544">
        <v>91</v>
      </c>
      <c r="EK18" s="544">
        <v>61</v>
      </c>
      <c r="EL18" s="544" t="s">
        <v>249</v>
      </c>
      <c r="EM18" s="544">
        <v>438</v>
      </c>
      <c r="EN18" s="544">
        <v>314</v>
      </c>
      <c r="EO18" s="544">
        <v>76</v>
      </c>
      <c r="EP18" s="544">
        <v>47</v>
      </c>
      <c r="EQ18" s="544" t="s">
        <v>249</v>
      </c>
      <c r="ER18" s="545">
        <f t="shared" si="107"/>
        <v>1778</v>
      </c>
      <c r="ES18" s="544">
        <f t="shared" si="108"/>
        <v>1265</v>
      </c>
      <c r="ET18" s="544">
        <f t="shared" si="109"/>
        <v>285</v>
      </c>
      <c r="EU18" s="544">
        <f t="shared" si="110"/>
        <v>226</v>
      </c>
      <c r="EV18" s="544" t="s">
        <v>249</v>
      </c>
      <c r="EW18" s="544">
        <v>382</v>
      </c>
      <c r="EX18" s="544">
        <v>271</v>
      </c>
      <c r="EY18" s="544">
        <v>61</v>
      </c>
      <c r="EZ18" s="544">
        <v>51</v>
      </c>
      <c r="FA18" s="544" t="s">
        <v>249</v>
      </c>
      <c r="FB18" s="544"/>
      <c r="FC18" s="544"/>
      <c r="FD18" s="544"/>
      <c r="FE18" s="544"/>
      <c r="FF18" s="544"/>
      <c r="FG18" s="544"/>
      <c r="FH18" s="544"/>
      <c r="FI18" s="544"/>
      <c r="FJ18" s="544"/>
      <c r="FK18" s="544"/>
      <c r="FL18" s="544"/>
      <c r="FM18" s="544"/>
      <c r="FN18" s="544"/>
      <c r="FO18" s="544"/>
      <c r="FP18" s="544"/>
      <c r="FQ18" s="545">
        <f t="shared" si="111"/>
        <v>382</v>
      </c>
      <c r="FR18" s="544">
        <f t="shared" si="112"/>
        <v>271</v>
      </c>
      <c r="FS18" s="544">
        <f t="shared" si="113"/>
        <v>61</v>
      </c>
      <c r="FT18" s="544">
        <f t="shared" si="114"/>
        <v>51</v>
      </c>
      <c r="FU18" s="544" t="s">
        <v>249</v>
      </c>
    </row>
    <row r="19" spans="2:179">
      <c r="B19" s="99" t="str">
        <f>names!$A759</f>
        <v>Frakcje ciężkie</v>
      </c>
      <c r="C19" s="539">
        <f>SUM(C20:C22)</f>
        <v>1060</v>
      </c>
      <c r="D19" s="539">
        <f t="shared" ref="D19:F19" si="115">SUM(D20:D22)</f>
        <v>487</v>
      </c>
      <c r="E19" s="539">
        <f t="shared" si="115"/>
        <v>152</v>
      </c>
      <c r="F19" s="539">
        <f t="shared" si="115"/>
        <v>418</v>
      </c>
      <c r="G19" s="539" t="s">
        <v>249</v>
      </c>
      <c r="H19" s="539">
        <f t="shared" ref="H19:K19" si="116">SUM(H20:H22)</f>
        <v>1138</v>
      </c>
      <c r="I19" s="539">
        <f t="shared" si="116"/>
        <v>482</v>
      </c>
      <c r="J19" s="539">
        <f t="shared" si="116"/>
        <v>164</v>
      </c>
      <c r="K19" s="539">
        <f t="shared" si="116"/>
        <v>492</v>
      </c>
      <c r="L19" s="539" t="s">
        <v>249</v>
      </c>
      <c r="M19" s="539">
        <f t="shared" ref="M19:P19" si="117">SUM(M20:M22)</f>
        <v>1303</v>
      </c>
      <c r="N19" s="539">
        <f t="shared" si="117"/>
        <v>556</v>
      </c>
      <c r="O19" s="539">
        <f t="shared" si="117"/>
        <v>198</v>
      </c>
      <c r="P19" s="539">
        <f t="shared" si="117"/>
        <v>539</v>
      </c>
      <c r="Q19" s="539" t="s">
        <v>249</v>
      </c>
      <c r="R19" s="539">
        <f t="shared" ref="R19:U19" si="118">SUM(R20:R22)</f>
        <v>1224</v>
      </c>
      <c r="S19" s="539">
        <f t="shared" si="118"/>
        <v>625</v>
      </c>
      <c r="T19" s="539">
        <f t="shared" si="118"/>
        <v>168</v>
      </c>
      <c r="U19" s="539">
        <f t="shared" si="118"/>
        <v>430</v>
      </c>
      <c r="V19" s="539" t="s">
        <v>249</v>
      </c>
      <c r="W19" s="362">
        <f t="shared" ref="W19:Z19" si="119">SUM(W20:W22)</f>
        <v>4725</v>
      </c>
      <c r="X19" s="539">
        <f t="shared" si="119"/>
        <v>2150</v>
      </c>
      <c r="Y19" s="539">
        <f t="shared" si="119"/>
        <v>682</v>
      </c>
      <c r="Z19" s="539">
        <f t="shared" si="119"/>
        <v>1879</v>
      </c>
      <c r="AA19" s="539" t="s">
        <v>249</v>
      </c>
      <c r="AB19" s="539">
        <f t="shared" ref="AB19:AE19" si="120">SUM(AB20:AB22)</f>
        <v>917</v>
      </c>
      <c r="AC19" s="539">
        <f t="shared" si="120"/>
        <v>428</v>
      </c>
      <c r="AD19" s="539">
        <f t="shared" si="120"/>
        <v>121</v>
      </c>
      <c r="AE19" s="539">
        <f t="shared" si="120"/>
        <v>372</v>
      </c>
      <c r="AF19" s="539" t="s">
        <v>249</v>
      </c>
      <c r="AG19" s="539">
        <f t="shared" ref="AG19:AJ19" si="121">SUM(AG20:AG22)</f>
        <v>782</v>
      </c>
      <c r="AH19" s="539">
        <f t="shared" si="121"/>
        <v>395</v>
      </c>
      <c r="AI19" s="539">
        <f t="shared" si="121"/>
        <v>68</v>
      </c>
      <c r="AJ19" s="539">
        <f t="shared" si="121"/>
        <v>316</v>
      </c>
      <c r="AK19" s="539" t="s">
        <v>249</v>
      </c>
      <c r="AL19" s="539">
        <f t="shared" ref="AL19:AO19" si="122">SUM(AL20:AL22)</f>
        <v>1192</v>
      </c>
      <c r="AM19" s="539">
        <f t="shared" si="122"/>
        <v>633</v>
      </c>
      <c r="AN19" s="539">
        <f t="shared" si="122"/>
        <v>193</v>
      </c>
      <c r="AO19" s="539">
        <f t="shared" si="122"/>
        <v>377</v>
      </c>
      <c r="AP19" s="539" t="s">
        <v>249</v>
      </c>
      <c r="AQ19" s="539">
        <f t="shared" ref="AQ19:AT19" si="123">SUM(AQ20:AQ22)</f>
        <v>946</v>
      </c>
      <c r="AR19" s="539">
        <f t="shared" si="123"/>
        <v>440</v>
      </c>
      <c r="AS19" s="539">
        <f t="shared" si="123"/>
        <v>156</v>
      </c>
      <c r="AT19" s="539">
        <f t="shared" si="123"/>
        <v>345</v>
      </c>
      <c r="AU19" s="539" t="s">
        <v>249</v>
      </c>
      <c r="AV19" s="362">
        <f t="shared" ref="AV19:AY19" si="124">SUM(AV20:AV22)</f>
        <v>3837</v>
      </c>
      <c r="AW19" s="539">
        <f t="shared" si="124"/>
        <v>1896</v>
      </c>
      <c r="AX19" s="539">
        <f t="shared" si="124"/>
        <v>538</v>
      </c>
      <c r="AY19" s="539">
        <f t="shared" si="124"/>
        <v>1410</v>
      </c>
      <c r="AZ19" s="539" t="s">
        <v>249</v>
      </c>
      <c r="BA19" s="539">
        <f t="shared" ref="BA19:BD19" si="125">SUM(BA20:BA22)</f>
        <v>572</v>
      </c>
      <c r="BB19" s="539">
        <f t="shared" si="125"/>
        <v>227</v>
      </c>
      <c r="BC19" s="539">
        <f t="shared" si="125"/>
        <v>93</v>
      </c>
      <c r="BD19" s="539">
        <f t="shared" si="125"/>
        <v>254</v>
      </c>
      <c r="BE19" s="539" t="s">
        <v>249</v>
      </c>
      <c r="BF19" s="539">
        <f t="shared" ref="BF19:BI19" si="126">SUM(BF20:BF22)</f>
        <v>829</v>
      </c>
      <c r="BG19" s="539">
        <f t="shared" si="126"/>
        <v>388</v>
      </c>
      <c r="BH19" s="539">
        <f t="shared" si="126"/>
        <v>124</v>
      </c>
      <c r="BI19" s="539">
        <f t="shared" si="126"/>
        <v>311</v>
      </c>
      <c r="BJ19" s="539" t="s">
        <v>249</v>
      </c>
      <c r="BK19" s="539">
        <f t="shared" ref="BK19:BN19" si="127">SUM(BK20:BK22)</f>
        <v>1123</v>
      </c>
      <c r="BL19" s="539">
        <f t="shared" si="127"/>
        <v>571</v>
      </c>
      <c r="BM19" s="539">
        <f t="shared" si="127"/>
        <v>162</v>
      </c>
      <c r="BN19" s="539">
        <f t="shared" si="127"/>
        <v>388</v>
      </c>
      <c r="BO19" s="539" t="s">
        <v>249</v>
      </c>
      <c r="BP19" s="539">
        <f t="shared" ref="BP19:BS19" si="128">SUM(BP20:BP22)</f>
        <v>1096</v>
      </c>
      <c r="BQ19" s="539">
        <f t="shared" si="128"/>
        <v>505</v>
      </c>
      <c r="BR19" s="539">
        <f t="shared" si="128"/>
        <v>141</v>
      </c>
      <c r="BS19" s="539">
        <f t="shared" si="128"/>
        <v>447</v>
      </c>
      <c r="BT19" s="539" t="s">
        <v>249</v>
      </c>
      <c r="BU19" s="362">
        <f t="shared" ref="BU19:BX19" si="129">SUM(BU20:BU22)</f>
        <v>3620</v>
      </c>
      <c r="BV19" s="539">
        <f t="shared" si="129"/>
        <v>1691</v>
      </c>
      <c r="BW19" s="539">
        <f t="shared" si="129"/>
        <v>520</v>
      </c>
      <c r="BX19" s="539">
        <f t="shared" si="129"/>
        <v>1400</v>
      </c>
      <c r="BY19" s="539" t="s">
        <v>249</v>
      </c>
      <c r="BZ19" s="539">
        <f t="shared" ref="BZ19:CC19" si="130">SUM(BZ20:BZ22)</f>
        <v>867</v>
      </c>
      <c r="CA19" s="539">
        <f t="shared" si="130"/>
        <v>358</v>
      </c>
      <c r="CB19" s="539">
        <f t="shared" si="130"/>
        <v>112</v>
      </c>
      <c r="CC19" s="539">
        <f t="shared" si="130"/>
        <v>404</v>
      </c>
      <c r="CD19" s="539" t="s">
        <v>249</v>
      </c>
      <c r="CE19" s="539">
        <f t="shared" ref="CE19:CH19" si="131">SUM(CE20:CE22)</f>
        <v>835</v>
      </c>
      <c r="CF19" s="539">
        <f t="shared" si="131"/>
        <v>489</v>
      </c>
      <c r="CG19" s="539">
        <f t="shared" si="131"/>
        <v>166</v>
      </c>
      <c r="CH19" s="539">
        <f t="shared" si="131"/>
        <v>181</v>
      </c>
      <c r="CI19" s="539" t="s">
        <v>249</v>
      </c>
      <c r="CJ19" s="539">
        <f t="shared" ref="CJ19:CR19" si="132">SUM(CJ20:CJ22)</f>
        <v>1166</v>
      </c>
      <c r="CK19" s="539">
        <f t="shared" si="132"/>
        <v>625</v>
      </c>
      <c r="CL19" s="539">
        <f t="shared" si="132"/>
        <v>185</v>
      </c>
      <c r="CM19" s="539">
        <f t="shared" si="132"/>
        <v>376</v>
      </c>
      <c r="CN19" s="539" t="s">
        <v>249</v>
      </c>
      <c r="CO19" s="539">
        <f t="shared" si="132"/>
        <v>1301</v>
      </c>
      <c r="CP19" s="539">
        <f t="shared" si="132"/>
        <v>773</v>
      </c>
      <c r="CQ19" s="539">
        <f t="shared" si="132"/>
        <v>187</v>
      </c>
      <c r="CR19" s="539">
        <f t="shared" si="132"/>
        <v>357</v>
      </c>
      <c r="CS19" s="539" t="s">
        <v>249</v>
      </c>
      <c r="CT19" s="362">
        <f t="shared" ref="CT19:CW19" si="133">SUM(CT20:CT22)</f>
        <v>4169</v>
      </c>
      <c r="CU19" s="539">
        <f t="shared" si="133"/>
        <v>2245</v>
      </c>
      <c r="CV19" s="539">
        <f t="shared" si="133"/>
        <v>650</v>
      </c>
      <c r="CW19" s="539">
        <f t="shared" si="133"/>
        <v>1318</v>
      </c>
      <c r="CX19" s="539" t="s">
        <v>249</v>
      </c>
      <c r="CY19" s="539">
        <f t="shared" ref="CY19:DB19" si="134">SUM(CY20:CY22)</f>
        <v>1126</v>
      </c>
      <c r="CZ19" s="539">
        <f t="shared" si="134"/>
        <v>637</v>
      </c>
      <c r="DA19" s="539">
        <f t="shared" si="134"/>
        <v>169</v>
      </c>
      <c r="DB19" s="539">
        <f t="shared" si="134"/>
        <v>335</v>
      </c>
      <c r="DC19" s="539" t="s">
        <v>249</v>
      </c>
      <c r="DD19" s="539">
        <f t="shared" ref="DD19:DG19" si="135">SUM(DD20:DD22)</f>
        <v>1240</v>
      </c>
      <c r="DE19" s="539">
        <f t="shared" si="135"/>
        <v>707</v>
      </c>
      <c r="DF19" s="539">
        <f t="shared" si="135"/>
        <v>200</v>
      </c>
      <c r="DG19" s="539">
        <f t="shared" si="135"/>
        <v>342</v>
      </c>
      <c r="DH19" s="539" t="s">
        <v>249</v>
      </c>
      <c r="DI19" s="539">
        <v>1305</v>
      </c>
      <c r="DJ19" s="539">
        <f t="shared" ref="DJ19:DL19" si="136">SUM(DJ20:DJ22)</f>
        <v>817</v>
      </c>
      <c r="DK19" s="539">
        <f t="shared" si="136"/>
        <v>197</v>
      </c>
      <c r="DL19" s="539">
        <f t="shared" si="136"/>
        <v>334</v>
      </c>
      <c r="DM19" s="539" t="s">
        <v>249</v>
      </c>
      <c r="DN19" s="539">
        <f t="shared" ref="DN19:DQ19" si="137">SUM(DN20:DN22)</f>
        <v>1184</v>
      </c>
      <c r="DO19" s="539">
        <f t="shared" si="137"/>
        <v>715</v>
      </c>
      <c r="DP19" s="539">
        <f t="shared" si="137"/>
        <v>151</v>
      </c>
      <c r="DQ19" s="539">
        <f t="shared" si="137"/>
        <v>340</v>
      </c>
      <c r="DR19" s="539" t="s">
        <v>249</v>
      </c>
      <c r="DS19" s="362">
        <f t="shared" ref="DS19:DV19" si="138">SUM(DS20:DS22)</f>
        <v>4855</v>
      </c>
      <c r="DT19" s="539">
        <f t="shared" si="138"/>
        <v>2876</v>
      </c>
      <c r="DU19" s="539">
        <f t="shared" si="138"/>
        <v>717</v>
      </c>
      <c r="DV19" s="539">
        <f t="shared" si="138"/>
        <v>1351</v>
      </c>
      <c r="DW19" s="539" t="s">
        <v>249</v>
      </c>
      <c r="DX19" s="539">
        <f t="shared" ref="DX19:EA19" si="139">SUM(DX20:DX22)</f>
        <v>1102</v>
      </c>
      <c r="DY19" s="539">
        <f t="shared" si="139"/>
        <v>701</v>
      </c>
      <c r="DZ19" s="539">
        <f t="shared" si="139"/>
        <v>130</v>
      </c>
      <c r="EA19" s="539">
        <f t="shared" si="139"/>
        <v>307</v>
      </c>
      <c r="EB19" s="539" t="s">
        <v>249</v>
      </c>
      <c r="EC19" s="539">
        <f t="shared" ref="EC19:EF19" si="140">SUM(EC20:EC22)</f>
        <v>1315</v>
      </c>
      <c r="ED19" s="539">
        <f t="shared" si="140"/>
        <v>873</v>
      </c>
      <c r="EE19" s="539">
        <f t="shared" si="140"/>
        <v>66</v>
      </c>
      <c r="EF19" s="539">
        <f t="shared" si="140"/>
        <v>405</v>
      </c>
      <c r="EG19" s="539" t="s">
        <v>249</v>
      </c>
      <c r="EH19" s="539">
        <f t="shared" ref="EH19:EK19" si="141">SUM(EH20:EH22)</f>
        <v>1430</v>
      </c>
      <c r="EI19" s="539">
        <f t="shared" si="141"/>
        <v>940</v>
      </c>
      <c r="EJ19" s="539">
        <f t="shared" si="141"/>
        <v>134</v>
      </c>
      <c r="EK19" s="539">
        <f t="shared" si="141"/>
        <v>382</v>
      </c>
      <c r="EL19" s="539" t="s">
        <v>249</v>
      </c>
      <c r="EM19" s="539">
        <f t="shared" ref="EM19:EP19" si="142">SUM(EM20:EM22)</f>
        <v>1216</v>
      </c>
      <c r="EN19" s="539">
        <f t="shared" si="142"/>
        <v>797</v>
      </c>
      <c r="EO19" s="539">
        <f t="shared" si="142"/>
        <v>166</v>
      </c>
      <c r="EP19" s="539">
        <f t="shared" si="142"/>
        <v>280</v>
      </c>
      <c r="EQ19" s="539" t="s">
        <v>249</v>
      </c>
      <c r="ER19" s="362">
        <f t="shared" ref="ER19:EU19" si="143">SUM(ER20:ER22)</f>
        <v>5063</v>
      </c>
      <c r="ES19" s="539">
        <f t="shared" si="143"/>
        <v>3311</v>
      </c>
      <c r="ET19" s="539">
        <f t="shared" si="143"/>
        <v>496</v>
      </c>
      <c r="EU19" s="539">
        <f t="shared" si="143"/>
        <v>1374</v>
      </c>
      <c r="EV19" s="539" t="s">
        <v>249</v>
      </c>
      <c r="EW19" s="539">
        <f t="shared" ref="EW19:EZ19" si="144">SUM(EW20:EW22)</f>
        <v>1004</v>
      </c>
      <c r="EX19" s="539">
        <f t="shared" si="144"/>
        <v>549</v>
      </c>
      <c r="EY19" s="539">
        <f t="shared" si="144"/>
        <v>104</v>
      </c>
      <c r="EZ19" s="539">
        <f t="shared" si="144"/>
        <v>396</v>
      </c>
      <c r="FA19" s="539" t="s">
        <v>249</v>
      </c>
      <c r="FB19" s="539">
        <f t="shared" ref="FB19:FE19" si="145">SUM(FB20:FB22)</f>
        <v>0</v>
      </c>
      <c r="FC19" s="539">
        <f t="shared" si="145"/>
        <v>0</v>
      </c>
      <c r="FD19" s="539">
        <f t="shared" si="145"/>
        <v>0</v>
      </c>
      <c r="FE19" s="539">
        <f t="shared" si="145"/>
        <v>0</v>
      </c>
      <c r="FF19" s="539" t="s">
        <v>249</v>
      </c>
      <c r="FG19" s="539">
        <f t="shared" ref="FG19:FJ19" si="146">SUM(FG20:FG22)</f>
        <v>0</v>
      </c>
      <c r="FH19" s="539">
        <f t="shared" si="146"/>
        <v>0</v>
      </c>
      <c r="FI19" s="539">
        <f t="shared" si="146"/>
        <v>0</v>
      </c>
      <c r="FJ19" s="539">
        <f t="shared" si="146"/>
        <v>0</v>
      </c>
      <c r="FK19" s="539" t="s">
        <v>249</v>
      </c>
      <c r="FL19" s="539">
        <f t="shared" ref="FL19:FO19" si="147">SUM(FL20:FL22)</f>
        <v>0</v>
      </c>
      <c r="FM19" s="539">
        <f t="shared" si="147"/>
        <v>0</v>
      </c>
      <c r="FN19" s="539">
        <f t="shared" si="147"/>
        <v>0</v>
      </c>
      <c r="FO19" s="539">
        <f t="shared" si="147"/>
        <v>0</v>
      </c>
      <c r="FP19" s="539" t="s">
        <v>249</v>
      </c>
      <c r="FQ19" s="362">
        <f t="shared" ref="FQ19:FT19" si="148">SUM(FQ20:FQ22)</f>
        <v>1004</v>
      </c>
      <c r="FR19" s="539">
        <f t="shared" si="148"/>
        <v>549</v>
      </c>
      <c r="FS19" s="539">
        <f t="shared" si="148"/>
        <v>104</v>
      </c>
      <c r="FT19" s="539">
        <f t="shared" si="148"/>
        <v>396</v>
      </c>
      <c r="FU19" s="539" t="s">
        <v>249</v>
      </c>
    </row>
    <row r="20" spans="2:179">
      <c r="B20" s="546" t="str">
        <f>names!$A760</f>
        <v xml:space="preserve">  - ciężki olej opałowy</v>
      </c>
      <c r="C20" s="541">
        <v>862</v>
      </c>
      <c r="D20" s="541">
        <v>414</v>
      </c>
      <c r="E20" s="541">
        <v>55</v>
      </c>
      <c r="F20" s="541">
        <v>380</v>
      </c>
      <c r="G20" s="541" t="s">
        <v>249</v>
      </c>
      <c r="H20" s="541">
        <v>713</v>
      </c>
      <c r="I20" s="541">
        <v>281</v>
      </c>
      <c r="J20" s="541">
        <v>29</v>
      </c>
      <c r="K20" s="541">
        <v>390</v>
      </c>
      <c r="L20" s="541" t="s">
        <v>249</v>
      </c>
      <c r="M20" s="541">
        <v>741</v>
      </c>
      <c r="N20" s="541">
        <v>273</v>
      </c>
      <c r="O20" s="541">
        <v>27</v>
      </c>
      <c r="P20" s="541">
        <v>420</v>
      </c>
      <c r="Q20" s="541" t="s">
        <v>249</v>
      </c>
      <c r="R20" s="541">
        <v>707</v>
      </c>
      <c r="S20" s="541">
        <v>355</v>
      </c>
      <c r="T20" s="541">
        <v>24</v>
      </c>
      <c r="U20" s="541">
        <v>318</v>
      </c>
      <c r="V20" s="541" t="s">
        <v>249</v>
      </c>
      <c r="W20" s="542">
        <f>SUM(C20,H20,M20,R20)</f>
        <v>3023</v>
      </c>
      <c r="X20" s="541">
        <f t="shared" ref="X20:Z22" si="149">SUM(D20,I20,N20,S20)</f>
        <v>1323</v>
      </c>
      <c r="Y20" s="541">
        <f t="shared" si="149"/>
        <v>135</v>
      </c>
      <c r="Z20" s="541">
        <f t="shared" si="149"/>
        <v>1508</v>
      </c>
      <c r="AA20" s="541" t="s">
        <v>249</v>
      </c>
      <c r="AB20" s="541">
        <v>691</v>
      </c>
      <c r="AC20" s="541">
        <v>342</v>
      </c>
      <c r="AD20" s="541">
        <v>44</v>
      </c>
      <c r="AE20" s="541">
        <v>301</v>
      </c>
      <c r="AF20" s="541" t="s">
        <v>249</v>
      </c>
      <c r="AG20" s="541">
        <v>417</v>
      </c>
      <c r="AH20" s="541">
        <v>161</v>
      </c>
      <c r="AI20" s="541">
        <v>12</v>
      </c>
      <c r="AJ20" s="541">
        <v>232</v>
      </c>
      <c r="AK20" s="541" t="s">
        <v>249</v>
      </c>
      <c r="AL20" s="541">
        <v>602</v>
      </c>
      <c r="AM20" s="541">
        <v>324</v>
      </c>
      <c r="AN20" s="541">
        <v>20</v>
      </c>
      <c r="AO20" s="541">
        <v>252</v>
      </c>
      <c r="AP20" s="541" t="s">
        <v>249</v>
      </c>
      <c r="AQ20" s="541">
        <v>499</v>
      </c>
      <c r="AR20" s="541">
        <v>215</v>
      </c>
      <c r="AS20" s="541">
        <v>14</v>
      </c>
      <c r="AT20" s="541">
        <v>268</v>
      </c>
      <c r="AU20" s="541" t="s">
        <v>249</v>
      </c>
      <c r="AV20" s="542">
        <f>SUM(AB20,AG20,AL20,AQ20)</f>
        <v>2209</v>
      </c>
      <c r="AW20" s="541">
        <f t="shared" ref="AW20:AY22" si="150">SUM(AC20,AH20,AM20,AR20)</f>
        <v>1042</v>
      </c>
      <c r="AX20" s="541">
        <f t="shared" si="150"/>
        <v>90</v>
      </c>
      <c r="AY20" s="541">
        <f t="shared" si="150"/>
        <v>1053</v>
      </c>
      <c r="AZ20" s="541" t="s">
        <v>249</v>
      </c>
      <c r="BA20" s="541">
        <v>413</v>
      </c>
      <c r="BB20" s="541">
        <v>153</v>
      </c>
      <c r="BC20" s="541">
        <v>27</v>
      </c>
      <c r="BD20" s="541">
        <v>220</v>
      </c>
      <c r="BE20" s="541" t="s">
        <v>249</v>
      </c>
      <c r="BF20" s="541">
        <v>465</v>
      </c>
      <c r="BG20" s="541">
        <v>191</v>
      </c>
      <c r="BH20" s="541">
        <v>17</v>
      </c>
      <c r="BI20" s="541">
        <v>238</v>
      </c>
      <c r="BJ20" s="541" t="s">
        <v>249</v>
      </c>
      <c r="BK20" s="541">
        <v>597</v>
      </c>
      <c r="BL20" s="541">
        <v>287</v>
      </c>
      <c r="BM20" s="541">
        <v>16</v>
      </c>
      <c r="BN20" s="541">
        <v>277</v>
      </c>
      <c r="BO20" s="541" t="s">
        <v>249</v>
      </c>
      <c r="BP20" s="541">
        <v>688</v>
      </c>
      <c r="BQ20" s="541">
        <v>270</v>
      </c>
      <c r="BR20" s="541">
        <v>21</v>
      </c>
      <c r="BS20" s="541">
        <v>377</v>
      </c>
      <c r="BT20" s="541" t="s">
        <v>249</v>
      </c>
      <c r="BU20" s="542">
        <f>SUM(BA20,BF20,BK20,BP20)</f>
        <v>2163</v>
      </c>
      <c r="BV20" s="541">
        <f t="shared" ref="BV20:BX22" si="151">SUM(BB20,BG20,BL20,BQ20)</f>
        <v>901</v>
      </c>
      <c r="BW20" s="541">
        <f t="shared" si="151"/>
        <v>81</v>
      </c>
      <c r="BX20" s="541">
        <f t="shared" si="151"/>
        <v>1112</v>
      </c>
      <c r="BY20" s="541" t="s">
        <v>249</v>
      </c>
      <c r="BZ20" s="541">
        <v>690</v>
      </c>
      <c r="CA20" s="541">
        <v>281</v>
      </c>
      <c r="CB20" s="541">
        <v>31</v>
      </c>
      <c r="CC20" s="541">
        <v>365</v>
      </c>
      <c r="CD20" s="541" t="s">
        <v>249</v>
      </c>
      <c r="CE20" s="541">
        <v>427</v>
      </c>
      <c r="CF20" s="541">
        <v>253</v>
      </c>
      <c r="CG20" s="541">
        <v>17</v>
      </c>
      <c r="CH20" s="541">
        <v>143</v>
      </c>
      <c r="CI20" s="541" t="s">
        <v>249</v>
      </c>
      <c r="CJ20" s="541">
        <v>553</v>
      </c>
      <c r="CK20" s="541">
        <v>274</v>
      </c>
      <c r="CL20" s="541">
        <v>21</v>
      </c>
      <c r="CM20" s="541">
        <v>252</v>
      </c>
      <c r="CN20" s="541" t="s">
        <v>249</v>
      </c>
      <c r="CO20" s="541">
        <v>686</v>
      </c>
      <c r="CP20" s="541">
        <v>380</v>
      </c>
      <c r="CQ20" s="541">
        <v>38</v>
      </c>
      <c r="CR20" s="541">
        <v>268</v>
      </c>
      <c r="CS20" s="541" t="s">
        <v>249</v>
      </c>
      <c r="CT20" s="542">
        <f>SUM(BZ20,CE20,CJ20,CO20)</f>
        <v>2356</v>
      </c>
      <c r="CU20" s="541">
        <f t="shared" ref="CU20:CU22" si="152">SUM(CA20,CF20,CK20,CP20)</f>
        <v>1188</v>
      </c>
      <c r="CV20" s="541">
        <f t="shared" ref="CV20:CV22" si="153">SUM(CB20,CG20,CL20,CQ20)</f>
        <v>107</v>
      </c>
      <c r="CW20" s="541">
        <f t="shared" ref="CW20:CW22" si="154">SUM(CC20,CH20,CM20,CR20)</f>
        <v>1028</v>
      </c>
      <c r="CX20" s="541" t="s">
        <v>249</v>
      </c>
      <c r="CY20" s="541">
        <v>805</v>
      </c>
      <c r="CZ20" s="541">
        <v>481</v>
      </c>
      <c r="DA20" s="541">
        <v>71</v>
      </c>
      <c r="DB20" s="541">
        <v>236</v>
      </c>
      <c r="DC20" s="541" t="s">
        <v>249</v>
      </c>
      <c r="DD20" s="541">
        <v>497</v>
      </c>
      <c r="DE20" s="541">
        <v>245</v>
      </c>
      <c r="DF20" s="541">
        <v>28</v>
      </c>
      <c r="DG20" s="541">
        <v>206</v>
      </c>
      <c r="DH20" s="541" t="s">
        <v>249</v>
      </c>
      <c r="DI20" s="541">
        <v>550</v>
      </c>
      <c r="DJ20" s="541">
        <v>308</v>
      </c>
      <c r="DK20" s="541">
        <v>23</v>
      </c>
      <c r="DL20" s="541">
        <v>202</v>
      </c>
      <c r="DM20" s="541" t="s">
        <v>249</v>
      </c>
      <c r="DN20" s="541">
        <v>613</v>
      </c>
      <c r="DO20" s="541">
        <v>334</v>
      </c>
      <c r="DP20" s="541">
        <v>25</v>
      </c>
      <c r="DQ20" s="541">
        <v>239</v>
      </c>
      <c r="DR20" s="541" t="s">
        <v>249</v>
      </c>
      <c r="DS20" s="542">
        <f>SUM(CY20,DD20,DI20,DN20)</f>
        <v>2465</v>
      </c>
      <c r="DT20" s="541">
        <f t="shared" ref="DT20:DT22" si="155">SUM(CZ20,DE20,DJ20,DO20)</f>
        <v>1368</v>
      </c>
      <c r="DU20" s="541">
        <f t="shared" ref="DU20:DU22" si="156">SUM(DA20,DF20,DK20,DP20)</f>
        <v>147</v>
      </c>
      <c r="DV20" s="541">
        <f t="shared" ref="DV20:DV22" si="157">SUM(DB20,DG20,DL20,DQ20)</f>
        <v>883</v>
      </c>
      <c r="DW20" s="541" t="s">
        <v>249</v>
      </c>
      <c r="DX20" s="541">
        <v>802</v>
      </c>
      <c r="DY20" s="541">
        <v>521</v>
      </c>
      <c r="DZ20" s="541">
        <v>36</v>
      </c>
      <c r="EA20" s="541">
        <v>241</v>
      </c>
      <c r="EB20" s="541" t="s">
        <v>249</v>
      </c>
      <c r="EC20" s="541">
        <v>662</v>
      </c>
      <c r="ED20" s="541">
        <v>373</v>
      </c>
      <c r="EE20" s="541">
        <v>17</v>
      </c>
      <c r="EF20" s="541">
        <v>253</v>
      </c>
      <c r="EG20" s="541" t="s">
        <v>249</v>
      </c>
      <c r="EH20" s="541">
        <v>677</v>
      </c>
      <c r="EI20" s="541">
        <v>430</v>
      </c>
      <c r="EJ20" s="541">
        <v>28</v>
      </c>
      <c r="EK20" s="541">
        <v>207</v>
      </c>
      <c r="EL20" s="541" t="s">
        <v>249</v>
      </c>
      <c r="EM20" s="541">
        <v>689</v>
      </c>
      <c r="EN20" s="541">
        <v>438</v>
      </c>
      <c r="EO20" s="541">
        <v>20</v>
      </c>
      <c r="EP20" s="541">
        <v>223</v>
      </c>
      <c r="EQ20" s="541" t="s">
        <v>249</v>
      </c>
      <c r="ER20" s="542">
        <f>SUM(DX20,EC20,EH20,EM20)</f>
        <v>2830</v>
      </c>
      <c r="ES20" s="541">
        <f t="shared" ref="ES20:ES22" si="158">SUM(DY20,ED20,EI20,EN20)</f>
        <v>1762</v>
      </c>
      <c r="ET20" s="541">
        <f t="shared" ref="ET20:ET22" si="159">SUM(DZ20,EE20,EJ20,EO20)</f>
        <v>101</v>
      </c>
      <c r="EU20" s="541">
        <f t="shared" ref="EU20:EU22" si="160">SUM(EA20,EF20,EK20,EP20)</f>
        <v>924</v>
      </c>
      <c r="EV20" s="541" t="s">
        <v>249</v>
      </c>
      <c r="EW20" s="541">
        <v>713</v>
      </c>
      <c r="EX20" s="541">
        <v>387</v>
      </c>
      <c r="EY20" s="541">
        <v>43</v>
      </c>
      <c r="EZ20" s="541">
        <v>280</v>
      </c>
      <c r="FA20" s="541" t="s">
        <v>249</v>
      </c>
      <c r="FB20" s="541"/>
      <c r="FC20" s="541"/>
      <c r="FD20" s="541"/>
      <c r="FE20" s="541"/>
      <c r="FF20" s="541"/>
      <c r="FG20" s="541"/>
      <c r="FH20" s="541"/>
      <c r="FI20" s="541"/>
      <c r="FJ20" s="541"/>
      <c r="FK20" s="541"/>
      <c r="FL20" s="541"/>
      <c r="FM20" s="541"/>
      <c r="FN20" s="541"/>
      <c r="FO20" s="541"/>
      <c r="FP20" s="541"/>
      <c r="FQ20" s="542">
        <f>SUM(EW20,FB20,FG20,FL20)</f>
        <v>713</v>
      </c>
      <c r="FR20" s="541">
        <f t="shared" ref="FR20:FR22" si="161">SUM(EX20,FC20,FH20,FM20)</f>
        <v>387</v>
      </c>
      <c r="FS20" s="541">
        <f t="shared" ref="FS20:FS22" si="162">SUM(EY20,FD20,FI20,FN20)</f>
        <v>43</v>
      </c>
      <c r="FT20" s="541">
        <f t="shared" ref="FT20:FT22" si="163">SUM(EZ20,FE20,FJ20,FO20)</f>
        <v>280</v>
      </c>
      <c r="FU20" s="541" t="s">
        <v>249</v>
      </c>
    </row>
    <row r="21" spans="2:179">
      <c r="B21" s="546" t="str">
        <f>names!$A761</f>
        <v xml:space="preserve">  - asfalt</v>
      </c>
      <c r="C21" s="541">
        <v>160</v>
      </c>
      <c r="D21" s="541">
        <v>36</v>
      </c>
      <c r="E21" s="541">
        <v>85</v>
      </c>
      <c r="F21" s="541">
        <v>38</v>
      </c>
      <c r="G21" s="541" t="s">
        <v>249</v>
      </c>
      <c r="H21" s="541">
        <v>400</v>
      </c>
      <c r="I21" s="541">
        <v>173</v>
      </c>
      <c r="J21" s="541">
        <v>125</v>
      </c>
      <c r="K21" s="541">
        <v>102</v>
      </c>
      <c r="L21" s="541" t="s">
        <v>249</v>
      </c>
      <c r="M21" s="541">
        <v>525</v>
      </c>
      <c r="N21" s="541">
        <v>245</v>
      </c>
      <c r="O21" s="541">
        <v>161</v>
      </c>
      <c r="P21" s="541">
        <v>119</v>
      </c>
      <c r="Q21" s="541" t="s">
        <v>249</v>
      </c>
      <c r="R21" s="541">
        <v>477</v>
      </c>
      <c r="S21" s="541">
        <v>231</v>
      </c>
      <c r="T21" s="541">
        <v>133</v>
      </c>
      <c r="U21" s="541">
        <v>112</v>
      </c>
      <c r="V21" s="541" t="s">
        <v>249</v>
      </c>
      <c r="W21" s="542">
        <f>SUM(C21,H21,M21,R21)</f>
        <v>1562</v>
      </c>
      <c r="X21" s="541">
        <f t="shared" si="149"/>
        <v>685</v>
      </c>
      <c r="Y21" s="541">
        <f t="shared" si="149"/>
        <v>504</v>
      </c>
      <c r="Z21" s="541">
        <f t="shared" si="149"/>
        <v>371</v>
      </c>
      <c r="AA21" s="541" t="s">
        <v>249</v>
      </c>
      <c r="AB21" s="541">
        <v>204</v>
      </c>
      <c r="AC21" s="541">
        <v>52</v>
      </c>
      <c r="AD21" s="541">
        <v>73</v>
      </c>
      <c r="AE21" s="541">
        <v>71</v>
      </c>
      <c r="AF21" s="541" t="s">
        <v>249</v>
      </c>
      <c r="AG21" s="541">
        <v>324</v>
      </c>
      <c r="AH21" s="541">
        <v>200</v>
      </c>
      <c r="AI21" s="541">
        <v>40</v>
      </c>
      <c r="AJ21" s="541">
        <v>84</v>
      </c>
      <c r="AK21" s="541" t="s">
        <v>249</v>
      </c>
      <c r="AL21" s="541">
        <v>559</v>
      </c>
      <c r="AM21" s="541">
        <v>270</v>
      </c>
      <c r="AN21" s="541">
        <v>164</v>
      </c>
      <c r="AO21" s="541">
        <v>125</v>
      </c>
      <c r="AP21" s="541" t="s">
        <v>249</v>
      </c>
      <c r="AQ21" s="541">
        <v>397</v>
      </c>
      <c r="AR21" s="541">
        <v>188</v>
      </c>
      <c r="AS21" s="541">
        <v>132</v>
      </c>
      <c r="AT21" s="541">
        <v>77</v>
      </c>
      <c r="AU21" s="541" t="s">
        <v>249</v>
      </c>
      <c r="AV21" s="542">
        <f>SUM(AB21,AG21,AL21,AQ21)</f>
        <v>1484</v>
      </c>
      <c r="AW21" s="541">
        <f t="shared" si="150"/>
        <v>710</v>
      </c>
      <c r="AX21" s="541">
        <f t="shared" si="150"/>
        <v>409</v>
      </c>
      <c r="AY21" s="541">
        <f t="shared" si="150"/>
        <v>357</v>
      </c>
      <c r="AZ21" s="541" t="s">
        <v>249</v>
      </c>
      <c r="BA21" s="541">
        <v>121</v>
      </c>
      <c r="BB21" s="541">
        <v>34</v>
      </c>
      <c r="BC21" s="541">
        <v>53</v>
      </c>
      <c r="BD21" s="541">
        <v>34</v>
      </c>
      <c r="BE21" s="541" t="s">
        <v>249</v>
      </c>
      <c r="BF21" s="541">
        <v>342</v>
      </c>
      <c r="BG21" s="541">
        <v>171</v>
      </c>
      <c r="BH21" s="541">
        <v>97</v>
      </c>
      <c r="BI21" s="541">
        <v>73</v>
      </c>
      <c r="BJ21" s="541" t="s">
        <v>249</v>
      </c>
      <c r="BK21" s="541">
        <v>489</v>
      </c>
      <c r="BL21" s="541">
        <v>243</v>
      </c>
      <c r="BM21" s="541">
        <v>135</v>
      </c>
      <c r="BN21" s="541">
        <v>111</v>
      </c>
      <c r="BO21" s="541" t="s">
        <v>249</v>
      </c>
      <c r="BP21" s="541">
        <v>378</v>
      </c>
      <c r="BQ21" s="541">
        <v>197</v>
      </c>
      <c r="BR21" s="541">
        <v>111</v>
      </c>
      <c r="BS21" s="541">
        <v>70</v>
      </c>
      <c r="BT21" s="541" t="s">
        <v>249</v>
      </c>
      <c r="BU21" s="542">
        <f>SUM(BA21,BF21,BK21,BP21)</f>
        <v>1330</v>
      </c>
      <c r="BV21" s="541">
        <f t="shared" si="151"/>
        <v>645</v>
      </c>
      <c r="BW21" s="541">
        <f t="shared" si="151"/>
        <v>396</v>
      </c>
      <c r="BX21" s="541">
        <f t="shared" si="151"/>
        <v>288</v>
      </c>
      <c r="BY21" s="541" t="s">
        <v>249</v>
      </c>
      <c r="BZ21" s="541">
        <v>142</v>
      </c>
      <c r="CA21" s="541">
        <v>36</v>
      </c>
      <c r="CB21" s="541">
        <v>68</v>
      </c>
      <c r="CC21" s="541">
        <v>39</v>
      </c>
      <c r="CD21" s="541" t="s">
        <v>249</v>
      </c>
      <c r="CE21" s="541">
        <v>376</v>
      </c>
      <c r="CF21" s="541">
        <v>193</v>
      </c>
      <c r="CG21" s="541">
        <v>143</v>
      </c>
      <c r="CH21" s="541">
        <v>38</v>
      </c>
      <c r="CI21" s="541" t="s">
        <v>249</v>
      </c>
      <c r="CJ21" s="541">
        <v>562</v>
      </c>
      <c r="CK21" s="541">
        <v>278</v>
      </c>
      <c r="CL21" s="541">
        <v>160</v>
      </c>
      <c r="CM21" s="541">
        <v>124</v>
      </c>
      <c r="CN21" s="541" t="s">
        <v>249</v>
      </c>
      <c r="CO21" s="541">
        <v>538</v>
      </c>
      <c r="CP21" s="541">
        <v>304</v>
      </c>
      <c r="CQ21" s="541">
        <v>145</v>
      </c>
      <c r="CR21" s="541">
        <v>89</v>
      </c>
      <c r="CS21" s="541" t="s">
        <v>249</v>
      </c>
      <c r="CT21" s="542">
        <f>SUM(BZ21,CE21,CJ21,CO21)</f>
        <v>1618</v>
      </c>
      <c r="CU21" s="541">
        <f t="shared" si="152"/>
        <v>811</v>
      </c>
      <c r="CV21" s="541">
        <f t="shared" si="153"/>
        <v>516</v>
      </c>
      <c r="CW21" s="541">
        <f t="shared" si="154"/>
        <v>290</v>
      </c>
      <c r="CX21" s="541" t="s">
        <v>249</v>
      </c>
      <c r="CY21" s="541">
        <v>274</v>
      </c>
      <c r="CZ21" s="541">
        <v>81</v>
      </c>
      <c r="DA21" s="541">
        <v>94</v>
      </c>
      <c r="DB21" s="541">
        <v>99</v>
      </c>
      <c r="DC21" s="541" t="s">
        <v>249</v>
      </c>
      <c r="DD21" s="541">
        <v>685</v>
      </c>
      <c r="DE21" s="541">
        <v>382</v>
      </c>
      <c r="DF21" s="541">
        <v>168</v>
      </c>
      <c r="DG21" s="541">
        <v>136</v>
      </c>
      <c r="DH21" s="541" t="s">
        <v>249</v>
      </c>
      <c r="DI21" s="541">
        <v>717</v>
      </c>
      <c r="DJ21" s="541">
        <v>416</v>
      </c>
      <c r="DK21" s="541">
        <v>169</v>
      </c>
      <c r="DL21" s="541">
        <v>132</v>
      </c>
      <c r="DM21" s="541" t="s">
        <v>249</v>
      </c>
      <c r="DN21" s="541">
        <v>526</v>
      </c>
      <c r="DO21" s="541">
        <v>304</v>
      </c>
      <c r="DP21" s="541">
        <v>122</v>
      </c>
      <c r="DQ21" s="541">
        <v>101</v>
      </c>
      <c r="DR21" s="541" t="s">
        <v>249</v>
      </c>
      <c r="DS21" s="542">
        <f>SUM(CY21,DD21,DI21,DN21)</f>
        <v>2202</v>
      </c>
      <c r="DT21" s="541">
        <f t="shared" si="155"/>
        <v>1183</v>
      </c>
      <c r="DU21" s="541">
        <f t="shared" si="156"/>
        <v>553</v>
      </c>
      <c r="DV21" s="541">
        <f t="shared" si="157"/>
        <v>468</v>
      </c>
      <c r="DW21" s="541" t="s">
        <v>249</v>
      </c>
      <c r="DX21" s="541">
        <v>264</v>
      </c>
      <c r="DY21" s="541">
        <v>104</v>
      </c>
      <c r="DZ21" s="541">
        <v>91</v>
      </c>
      <c r="EA21" s="541">
        <v>66</v>
      </c>
      <c r="EB21" s="541" t="s">
        <v>249</v>
      </c>
      <c r="EC21" s="541">
        <v>611</v>
      </c>
      <c r="ED21" s="541">
        <v>415</v>
      </c>
      <c r="EE21" s="541">
        <v>45</v>
      </c>
      <c r="EF21" s="541">
        <v>152</v>
      </c>
      <c r="EG21" s="541" t="s">
        <v>249</v>
      </c>
      <c r="EH21" s="541">
        <v>706</v>
      </c>
      <c r="EI21" s="541">
        <v>428</v>
      </c>
      <c r="EJ21" s="541">
        <v>103</v>
      </c>
      <c r="EK21" s="541">
        <v>175</v>
      </c>
      <c r="EL21" s="541" t="s">
        <v>249</v>
      </c>
      <c r="EM21" s="541">
        <v>482</v>
      </c>
      <c r="EN21" s="541">
        <v>282</v>
      </c>
      <c r="EO21" s="541">
        <v>143</v>
      </c>
      <c r="EP21" s="541">
        <v>57</v>
      </c>
      <c r="EQ21" s="541" t="s">
        <v>249</v>
      </c>
      <c r="ER21" s="542">
        <f>SUM(DX21,EC21,EH21,EM21)</f>
        <v>2063</v>
      </c>
      <c r="ES21" s="541">
        <f t="shared" si="158"/>
        <v>1229</v>
      </c>
      <c r="ET21" s="541">
        <f t="shared" si="159"/>
        <v>382</v>
      </c>
      <c r="EU21" s="541">
        <f t="shared" si="160"/>
        <v>450</v>
      </c>
      <c r="EV21" s="541" t="s">
        <v>249</v>
      </c>
      <c r="EW21" s="541">
        <v>258</v>
      </c>
      <c r="EX21" s="541">
        <v>80</v>
      </c>
      <c r="EY21" s="541">
        <v>58</v>
      </c>
      <c r="EZ21" s="541">
        <v>116</v>
      </c>
      <c r="FA21" s="541" t="s">
        <v>249</v>
      </c>
      <c r="FB21" s="541"/>
      <c r="FC21" s="541"/>
      <c r="FD21" s="541"/>
      <c r="FE21" s="541"/>
      <c r="FF21" s="541"/>
      <c r="FG21" s="541"/>
      <c r="FH21" s="541"/>
      <c r="FI21" s="541"/>
      <c r="FJ21" s="541"/>
      <c r="FK21" s="541"/>
      <c r="FL21" s="541"/>
      <c r="FM21" s="541"/>
      <c r="FN21" s="541"/>
      <c r="FO21" s="541"/>
      <c r="FP21" s="541"/>
      <c r="FQ21" s="542">
        <f>SUM(EW21,FB21,FG21,FL21)</f>
        <v>258</v>
      </c>
      <c r="FR21" s="541">
        <f t="shared" si="161"/>
        <v>80</v>
      </c>
      <c r="FS21" s="541">
        <f t="shared" si="162"/>
        <v>58</v>
      </c>
      <c r="FT21" s="541">
        <f t="shared" si="163"/>
        <v>116</v>
      </c>
      <c r="FU21" s="541" t="s">
        <v>249</v>
      </c>
    </row>
    <row r="22" spans="2:179">
      <c r="B22" s="547" t="str">
        <f>names!$A762</f>
        <v xml:space="preserve">  - oleje</v>
      </c>
      <c r="C22" s="544">
        <v>38</v>
      </c>
      <c r="D22" s="544">
        <v>37</v>
      </c>
      <c r="E22" s="544">
        <v>12</v>
      </c>
      <c r="F22" s="544" t="s">
        <v>249</v>
      </c>
      <c r="G22" s="544" t="s">
        <v>249</v>
      </c>
      <c r="H22" s="544">
        <v>25</v>
      </c>
      <c r="I22" s="544">
        <v>28</v>
      </c>
      <c r="J22" s="544">
        <v>10</v>
      </c>
      <c r="K22" s="544" t="s">
        <v>249</v>
      </c>
      <c r="L22" s="544" t="s">
        <v>249</v>
      </c>
      <c r="M22" s="544">
        <v>37</v>
      </c>
      <c r="N22" s="544">
        <v>38</v>
      </c>
      <c r="O22" s="544">
        <v>10</v>
      </c>
      <c r="P22" s="544" t="s">
        <v>249</v>
      </c>
      <c r="Q22" s="544" t="s">
        <v>249</v>
      </c>
      <c r="R22" s="544">
        <v>40</v>
      </c>
      <c r="S22" s="544">
        <v>39</v>
      </c>
      <c r="T22" s="544">
        <v>11</v>
      </c>
      <c r="U22" s="544" t="s">
        <v>249</v>
      </c>
      <c r="V22" s="544" t="s">
        <v>249</v>
      </c>
      <c r="W22" s="545">
        <f>SUM(C22,H22,M22,R22)</f>
        <v>140</v>
      </c>
      <c r="X22" s="544">
        <f t="shared" si="149"/>
        <v>142</v>
      </c>
      <c r="Y22" s="544">
        <f t="shared" si="149"/>
        <v>43</v>
      </c>
      <c r="Z22" s="544">
        <f t="shared" si="149"/>
        <v>0</v>
      </c>
      <c r="AA22" s="544" t="s">
        <v>249</v>
      </c>
      <c r="AB22" s="544">
        <v>22</v>
      </c>
      <c r="AC22" s="544">
        <v>34</v>
      </c>
      <c r="AD22" s="544">
        <v>4</v>
      </c>
      <c r="AE22" s="544" t="s">
        <v>249</v>
      </c>
      <c r="AF22" s="544" t="s">
        <v>249</v>
      </c>
      <c r="AG22" s="544">
        <v>41</v>
      </c>
      <c r="AH22" s="544">
        <v>34</v>
      </c>
      <c r="AI22" s="544">
        <v>16</v>
      </c>
      <c r="AJ22" s="544" t="s">
        <v>249</v>
      </c>
      <c r="AK22" s="544" t="s">
        <v>249</v>
      </c>
      <c r="AL22" s="544">
        <v>31</v>
      </c>
      <c r="AM22" s="544">
        <v>39</v>
      </c>
      <c r="AN22" s="544">
        <v>9</v>
      </c>
      <c r="AO22" s="544" t="s">
        <v>249</v>
      </c>
      <c r="AP22" s="544" t="s">
        <v>249</v>
      </c>
      <c r="AQ22" s="544">
        <v>50</v>
      </c>
      <c r="AR22" s="544">
        <v>37</v>
      </c>
      <c r="AS22" s="544">
        <v>10</v>
      </c>
      <c r="AT22" s="544" t="s">
        <v>249</v>
      </c>
      <c r="AU22" s="544" t="s">
        <v>249</v>
      </c>
      <c r="AV22" s="545">
        <f>SUM(AB22,AG22,AL22,AQ22)</f>
        <v>144</v>
      </c>
      <c r="AW22" s="544">
        <f t="shared" si="150"/>
        <v>144</v>
      </c>
      <c r="AX22" s="544">
        <f t="shared" si="150"/>
        <v>39</v>
      </c>
      <c r="AY22" s="544" t="s">
        <v>249</v>
      </c>
      <c r="AZ22" s="544" t="s">
        <v>249</v>
      </c>
      <c r="BA22" s="544">
        <v>38</v>
      </c>
      <c r="BB22" s="544">
        <v>40</v>
      </c>
      <c r="BC22" s="544">
        <v>13</v>
      </c>
      <c r="BD22" s="544" t="s">
        <v>249</v>
      </c>
      <c r="BE22" s="544" t="s">
        <v>249</v>
      </c>
      <c r="BF22" s="544">
        <v>22</v>
      </c>
      <c r="BG22" s="544">
        <v>26</v>
      </c>
      <c r="BH22" s="544">
        <v>10</v>
      </c>
      <c r="BI22" s="544" t="s">
        <v>249</v>
      </c>
      <c r="BJ22" s="544" t="s">
        <v>249</v>
      </c>
      <c r="BK22" s="544">
        <v>37</v>
      </c>
      <c r="BL22" s="544">
        <v>41</v>
      </c>
      <c r="BM22" s="544">
        <v>11</v>
      </c>
      <c r="BN22" s="544" t="s">
        <v>249</v>
      </c>
      <c r="BO22" s="544" t="s">
        <v>249</v>
      </c>
      <c r="BP22" s="544">
        <v>30</v>
      </c>
      <c r="BQ22" s="544">
        <v>38</v>
      </c>
      <c r="BR22" s="544">
        <v>9</v>
      </c>
      <c r="BS22" s="544" t="s">
        <v>249</v>
      </c>
      <c r="BT22" s="544" t="s">
        <v>249</v>
      </c>
      <c r="BU22" s="545">
        <f>SUM(BA22,BF22,BK22,BP22)</f>
        <v>127</v>
      </c>
      <c r="BV22" s="544">
        <f t="shared" si="151"/>
        <v>145</v>
      </c>
      <c r="BW22" s="544">
        <f t="shared" si="151"/>
        <v>43</v>
      </c>
      <c r="BX22" s="544">
        <f t="shared" si="151"/>
        <v>0</v>
      </c>
      <c r="BY22" s="544" t="s">
        <v>249</v>
      </c>
      <c r="BZ22" s="544">
        <v>35</v>
      </c>
      <c r="CA22" s="544">
        <v>41</v>
      </c>
      <c r="CB22" s="544">
        <v>13</v>
      </c>
      <c r="CC22" s="544" t="s">
        <v>249</v>
      </c>
      <c r="CD22" s="544" t="s">
        <v>249</v>
      </c>
      <c r="CE22" s="544">
        <v>32</v>
      </c>
      <c r="CF22" s="544">
        <v>43</v>
      </c>
      <c r="CG22" s="544">
        <v>6</v>
      </c>
      <c r="CH22" s="544" t="s">
        <v>249</v>
      </c>
      <c r="CI22" s="544" t="s">
        <v>249</v>
      </c>
      <c r="CJ22" s="544">
        <v>51</v>
      </c>
      <c r="CK22" s="544">
        <v>73</v>
      </c>
      <c r="CL22" s="544">
        <v>4</v>
      </c>
      <c r="CM22" s="544" t="s">
        <v>249</v>
      </c>
      <c r="CN22" s="544" t="s">
        <v>249</v>
      </c>
      <c r="CO22" s="544">
        <v>77</v>
      </c>
      <c r="CP22" s="544">
        <v>89</v>
      </c>
      <c r="CQ22" s="544">
        <v>4</v>
      </c>
      <c r="CR22" s="544" t="s">
        <v>249</v>
      </c>
      <c r="CS22" s="544" t="s">
        <v>249</v>
      </c>
      <c r="CT22" s="545">
        <f>SUM(BZ22,CE22,CJ22,CO22)</f>
        <v>195</v>
      </c>
      <c r="CU22" s="544">
        <f t="shared" si="152"/>
        <v>246</v>
      </c>
      <c r="CV22" s="544">
        <f t="shared" si="153"/>
        <v>27</v>
      </c>
      <c r="CW22" s="544">
        <f t="shared" si="154"/>
        <v>0</v>
      </c>
      <c r="CX22" s="544" t="s">
        <v>249</v>
      </c>
      <c r="CY22" s="544">
        <v>47</v>
      </c>
      <c r="CZ22" s="544">
        <v>75</v>
      </c>
      <c r="DA22" s="544">
        <v>4</v>
      </c>
      <c r="DB22" s="544" t="s">
        <v>249</v>
      </c>
      <c r="DC22" s="544" t="s">
        <v>249</v>
      </c>
      <c r="DD22" s="544">
        <v>58</v>
      </c>
      <c r="DE22" s="544">
        <v>80</v>
      </c>
      <c r="DF22" s="544">
        <v>4</v>
      </c>
      <c r="DG22" s="544" t="s">
        <v>249</v>
      </c>
      <c r="DH22" s="544" t="s">
        <v>249</v>
      </c>
      <c r="DI22" s="544">
        <v>38</v>
      </c>
      <c r="DJ22" s="544">
        <v>93</v>
      </c>
      <c r="DK22" s="544">
        <v>5</v>
      </c>
      <c r="DL22" s="544" t="s">
        <v>249</v>
      </c>
      <c r="DM22" s="544" t="s">
        <v>249</v>
      </c>
      <c r="DN22" s="544">
        <v>45</v>
      </c>
      <c r="DO22" s="544">
        <v>77</v>
      </c>
      <c r="DP22" s="544">
        <v>4</v>
      </c>
      <c r="DQ22" s="544" t="s">
        <v>249</v>
      </c>
      <c r="DR22" s="544" t="s">
        <v>249</v>
      </c>
      <c r="DS22" s="545">
        <f>SUM(CY22,DD22,DI22,DN22)</f>
        <v>188</v>
      </c>
      <c r="DT22" s="544">
        <f t="shared" si="155"/>
        <v>325</v>
      </c>
      <c r="DU22" s="544">
        <f t="shared" si="156"/>
        <v>17</v>
      </c>
      <c r="DV22" s="544">
        <f t="shared" si="157"/>
        <v>0</v>
      </c>
      <c r="DW22" s="544" t="s">
        <v>249</v>
      </c>
      <c r="DX22" s="544">
        <v>36</v>
      </c>
      <c r="DY22" s="544">
        <v>76</v>
      </c>
      <c r="DZ22" s="544">
        <v>3</v>
      </c>
      <c r="EA22" s="544" t="s">
        <v>249</v>
      </c>
      <c r="EB22" s="544" t="s">
        <v>249</v>
      </c>
      <c r="EC22" s="544">
        <v>42</v>
      </c>
      <c r="ED22" s="544">
        <v>85</v>
      </c>
      <c r="EE22" s="544">
        <v>4</v>
      </c>
      <c r="EF22" s="544" t="s">
        <v>249</v>
      </c>
      <c r="EG22" s="544" t="s">
        <v>249</v>
      </c>
      <c r="EH22" s="544">
        <v>47</v>
      </c>
      <c r="EI22" s="544">
        <v>82</v>
      </c>
      <c r="EJ22" s="544">
        <v>3</v>
      </c>
      <c r="EK22" s="544" t="s">
        <v>249</v>
      </c>
      <c r="EL22" s="544" t="s">
        <v>249</v>
      </c>
      <c r="EM22" s="544">
        <v>45</v>
      </c>
      <c r="EN22" s="544">
        <v>77</v>
      </c>
      <c r="EO22" s="544">
        <v>3</v>
      </c>
      <c r="EP22" s="544" t="s">
        <v>249</v>
      </c>
      <c r="EQ22" s="544" t="s">
        <v>249</v>
      </c>
      <c r="ER22" s="545">
        <f>SUM(DX22,EC22,EH22,EM22)</f>
        <v>170</v>
      </c>
      <c r="ES22" s="544">
        <f t="shared" si="158"/>
        <v>320</v>
      </c>
      <c r="ET22" s="544">
        <f t="shared" si="159"/>
        <v>13</v>
      </c>
      <c r="EU22" s="544">
        <f t="shared" si="160"/>
        <v>0</v>
      </c>
      <c r="EV22" s="544" t="s">
        <v>249</v>
      </c>
      <c r="EW22" s="544">
        <v>33</v>
      </c>
      <c r="EX22" s="544">
        <v>82</v>
      </c>
      <c r="EY22" s="544">
        <v>3</v>
      </c>
      <c r="EZ22" s="544" t="s">
        <v>249</v>
      </c>
      <c r="FA22" s="544" t="s">
        <v>249</v>
      </c>
      <c r="FB22" s="544"/>
      <c r="FC22" s="544"/>
      <c r="FD22" s="544"/>
      <c r="FE22" s="544"/>
      <c r="FF22" s="544"/>
      <c r="FG22" s="544"/>
      <c r="FH22" s="544"/>
      <c r="FI22" s="544"/>
      <c r="FJ22" s="544"/>
      <c r="FK22" s="544"/>
      <c r="FL22" s="544"/>
      <c r="FM22" s="544"/>
      <c r="FN22" s="544"/>
      <c r="FO22" s="544"/>
      <c r="FP22" s="544"/>
      <c r="FQ22" s="545">
        <f>SUM(EW22,FB22,FG22,FL22)</f>
        <v>33</v>
      </c>
      <c r="FR22" s="544">
        <f t="shared" si="161"/>
        <v>82</v>
      </c>
      <c r="FS22" s="544">
        <f t="shared" si="162"/>
        <v>3</v>
      </c>
      <c r="FT22" s="544">
        <f t="shared" si="163"/>
        <v>0</v>
      </c>
      <c r="FU22" s="544" t="s">
        <v>249</v>
      </c>
    </row>
    <row r="23" spans="2:179">
      <c r="B23" s="548" t="str">
        <f>names!$A763</f>
        <v>Pozostałe</v>
      </c>
      <c r="C23" s="549">
        <v>341</v>
      </c>
      <c r="D23" s="549">
        <v>75</v>
      </c>
      <c r="E23" s="549">
        <v>93</v>
      </c>
      <c r="F23" s="549">
        <v>49</v>
      </c>
      <c r="G23" s="549" t="s">
        <v>249</v>
      </c>
      <c r="H23" s="549">
        <v>326</v>
      </c>
      <c r="I23" s="549">
        <v>59</v>
      </c>
      <c r="J23" s="549">
        <v>79</v>
      </c>
      <c r="K23" s="549">
        <v>76</v>
      </c>
      <c r="L23" s="549" t="s">
        <v>249</v>
      </c>
      <c r="M23" s="549">
        <v>373</v>
      </c>
      <c r="N23" s="549">
        <v>102</v>
      </c>
      <c r="O23" s="549">
        <v>95</v>
      </c>
      <c r="P23" s="549">
        <v>75</v>
      </c>
      <c r="Q23" s="549" t="s">
        <v>249</v>
      </c>
      <c r="R23" s="549">
        <v>340</v>
      </c>
      <c r="S23" s="549">
        <v>79</v>
      </c>
      <c r="T23" s="549">
        <v>70</v>
      </c>
      <c r="U23" s="549">
        <v>80</v>
      </c>
      <c r="V23" s="549" t="s">
        <v>249</v>
      </c>
      <c r="W23" s="550">
        <f t="shared" ref="W23:Z23" si="164">C23+H23+M23+R23</f>
        <v>1380</v>
      </c>
      <c r="X23" s="549">
        <f t="shared" si="164"/>
        <v>315</v>
      </c>
      <c r="Y23" s="549">
        <f t="shared" si="164"/>
        <v>337</v>
      </c>
      <c r="Z23" s="549">
        <f t="shared" si="164"/>
        <v>280</v>
      </c>
      <c r="AA23" s="549" t="s">
        <v>249</v>
      </c>
      <c r="AB23" s="549">
        <v>342</v>
      </c>
      <c r="AC23" s="549">
        <v>77</v>
      </c>
      <c r="AD23" s="549">
        <v>63</v>
      </c>
      <c r="AE23" s="549">
        <v>59</v>
      </c>
      <c r="AF23" s="549" t="s">
        <v>249</v>
      </c>
      <c r="AG23" s="549">
        <v>316</v>
      </c>
      <c r="AH23" s="549">
        <v>88</v>
      </c>
      <c r="AI23" s="549">
        <v>39</v>
      </c>
      <c r="AJ23" s="549">
        <v>70</v>
      </c>
      <c r="AK23" s="549" t="s">
        <v>249</v>
      </c>
      <c r="AL23" s="549">
        <v>262</v>
      </c>
      <c r="AM23" s="549">
        <v>67</v>
      </c>
      <c r="AN23" s="549">
        <v>62</v>
      </c>
      <c r="AO23" s="549">
        <v>66</v>
      </c>
      <c r="AP23" s="549" t="s">
        <v>249</v>
      </c>
      <c r="AQ23" s="549">
        <v>471</v>
      </c>
      <c r="AR23" s="549">
        <v>208</v>
      </c>
      <c r="AS23" s="549">
        <v>98</v>
      </c>
      <c r="AT23" s="549">
        <v>66</v>
      </c>
      <c r="AU23" s="549" t="s">
        <v>249</v>
      </c>
      <c r="AV23" s="550">
        <f t="shared" ref="AV23:AY23" si="165">AB23+AG23+AL23+AQ23</f>
        <v>1391</v>
      </c>
      <c r="AW23" s="549">
        <f t="shared" si="165"/>
        <v>440</v>
      </c>
      <c r="AX23" s="549">
        <f t="shared" si="165"/>
        <v>262</v>
      </c>
      <c r="AY23" s="549">
        <f t="shared" si="165"/>
        <v>261</v>
      </c>
      <c r="AZ23" s="549" t="s">
        <v>249</v>
      </c>
      <c r="BA23" s="549">
        <v>546</v>
      </c>
      <c r="BB23" s="549">
        <v>302</v>
      </c>
      <c r="BC23" s="549">
        <v>120</v>
      </c>
      <c r="BD23" s="549">
        <v>55</v>
      </c>
      <c r="BE23" s="549" t="s">
        <v>249</v>
      </c>
      <c r="BF23" s="549">
        <v>401</v>
      </c>
      <c r="BG23" s="549">
        <v>150</v>
      </c>
      <c r="BH23" s="549">
        <v>57</v>
      </c>
      <c r="BI23" s="549">
        <v>60</v>
      </c>
      <c r="BJ23" s="549" t="s">
        <v>249</v>
      </c>
      <c r="BK23" s="549">
        <v>336</v>
      </c>
      <c r="BL23" s="549">
        <v>74</v>
      </c>
      <c r="BM23" s="549">
        <v>74</v>
      </c>
      <c r="BN23" s="549">
        <v>69</v>
      </c>
      <c r="BO23" s="549" t="s">
        <v>249</v>
      </c>
      <c r="BP23" s="549">
        <v>366</v>
      </c>
      <c r="BQ23" s="549">
        <v>71</v>
      </c>
      <c r="BR23" s="549">
        <v>81</v>
      </c>
      <c r="BS23" s="549">
        <v>83</v>
      </c>
      <c r="BT23" s="549" t="s">
        <v>249</v>
      </c>
      <c r="BU23" s="550">
        <f t="shared" ref="BU23:BX23" si="166">BA23+BF23+BK23+BP23</f>
        <v>1649</v>
      </c>
      <c r="BV23" s="549">
        <f t="shared" si="166"/>
        <v>597</v>
      </c>
      <c r="BW23" s="549">
        <f t="shared" si="166"/>
        <v>332</v>
      </c>
      <c r="BX23" s="549">
        <f t="shared" si="166"/>
        <v>267</v>
      </c>
      <c r="BY23" s="549" t="s">
        <v>249</v>
      </c>
      <c r="BZ23" s="549">
        <v>364</v>
      </c>
      <c r="CA23" s="549">
        <v>70</v>
      </c>
      <c r="CB23" s="549">
        <v>68</v>
      </c>
      <c r="CC23" s="549">
        <v>84</v>
      </c>
      <c r="CD23" s="549" t="s">
        <v>249</v>
      </c>
      <c r="CE23" s="549">
        <v>320</v>
      </c>
      <c r="CF23" s="549">
        <v>68</v>
      </c>
      <c r="CG23" s="549">
        <v>77</v>
      </c>
      <c r="CH23" s="549">
        <v>56</v>
      </c>
      <c r="CI23" s="549" t="s">
        <v>249</v>
      </c>
      <c r="CJ23" s="549">
        <v>809</v>
      </c>
      <c r="CK23" s="549">
        <v>397</v>
      </c>
      <c r="CL23" s="549">
        <v>91</v>
      </c>
      <c r="CM23" s="549">
        <v>223</v>
      </c>
      <c r="CN23" s="549" t="s">
        <v>249</v>
      </c>
      <c r="CO23" s="549">
        <v>782</v>
      </c>
      <c r="CP23" s="549">
        <v>474</v>
      </c>
      <c r="CQ23" s="549">
        <v>109</v>
      </c>
      <c r="CR23" s="549">
        <v>146</v>
      </c>
      <c r="CS23" s="549" t="s">
        <v>249</v>
      </c>
      <c r="CT23" s="550">
        <f t="shared" ref="CT23" si="167">BZ23+CE23+CJ23+CO23</f>
        <v>2275</v>
      </c>
      <c r="CU23" s="549">
        <f t="shared" ref="CU23" si="168">CA23+CF23+CK23+CP23</f>
        <v>1009</v>
      </c>
      <c r="CV23" s="549">
        <f t="shared" ref="CV23" si="169">CB23+CG23+CL23+CQ23</f>
        <v>345</v>
      </c>
      <c r="CW23" s="549">
        <f t="shared" ref="CW23" si="170">CC23+CH23+CM23+CR23</f>
        <v>509</v>
      </c>
      <c r="CX23" s="549" t="s">
        <v>249</v>
      </c>
      <c r="CY23" s="549">
        <v>524</v>
      </c>
      <c r="CZ23" s="549">
        <v>263</v>
      </c>
      <c r="DA23" s="549">
        <v>44</v>
      </c>
      <c r="DB23" s="549">
        <v>84</v>
      </c>
      <c r="DC23" s="549" t="s">
        <v>249</v>
      </c>
      <c r="DD23" s="549">
        <v>722</v>
      </c>
      <c r="DE23" s="549">
        <v>406</v>
      </c>
      <c r="DF23" s="549">
        <v>123</v>
      </c>
      <c r="DG23" s="549">
        <v>91</v>
      </c>
      <c r="DH23" s="549" t="s">
        <v>249</v>
      </c>
      <c r="DI23" s="549">
        <v>578</v>
      </c>
      <c r="DJ23" s="549">
        <v>369</v>
      </c>
      <c r="DK23" s="549">
        <v>37</v>
      </c>
      <c r="DL23" s="549">
        <v>94</v>
      </c>
      <c r="DM23" s="549" t="s">
        <v>249</v>
      </c>
      <c r="DN23" s="549">
        <v>627</v>
      </c>
      <c r="DO23" s="549">
        <v>369</v>
      </c>
      <c r="DP23" s="549">
        <v>103</v>
      </c>
      <c r="DQ23" s="549">
        <v>78</v>
      </c>
      <c r="DR23" s="549" t="s">
        <v>249</v>
      </c>
      <c r="DS23" s="550">
        <f t="shared" ref="DS23" si="171">CY23+DD23+DI23+DN23</f>
        <v>2451</v>
      </c>
      <c r="DT23" s="549">
        <f t="shared" ref="DT23" si="172">CZ23+DE23+DJ23+DO23</f>
        <v>1407</v>
      </c>
      <c r="DU23" s="549">
        <f t="shared" ref="DU23" si="173">DA23+DF23+DK23+DP23</f>
        <v>307</v>
      </c>
      <c r="DV23" s="549">
        <f t="shared" ref="DV23" si="174">DB23+DG23+DL23+DQ23</f>
        <v>347</v>
      </c>
      <c r="DW23" s="549" t="s">
        <v>249</v>
      </c>
      <c r="DX23" s="549">
        <v>449</v>
      </c>
      <c r="DY23" s="549">
        <v>211</v>
      </c>
      <c r="DZ23" s="549">
        <v>68</v>
      </c>
      <c r="EA23" s="549">
        <v>59</v>
      </c>
      <c r="EB23" s="549" t="s">
        <v>249</v>
      </c>
      <c r="EC23" s="549">
        <v>535</v>
      </c>
      <c r="ED23" s="549">
        <v>281</v>
      </c>
      <c r="EE23" s="549">
        <v>-52</v>
      </c>
      <c r="EF23" s="549">
        <v>120</v>
      </c>
      <c r="EG23" s="549" t="s">
        <v>249</v>
      </c>
      <c r="EH23" s="549">
        <v>490</v>
      </c>
      <c r="EI23" s="549">
        <v>245</v>
      </c>
      <c r="EJ23" s="549">
        <v>42</v>
      </c>
      <c r="EK23" s="549">
        <v>105</v>
      </c>
      <c r="EL23" s="549" t="s">
        <v>249</v>
      </c>
      <c r="EM23" s="549">
        <v>455</v>
      </c>
      <c r="EN23" s="549">
        <v>248</v>
      </c>
      <c r="EO23" s="549">
        <v>50</v>
      </c>
      <c r="EP23" s="549">
        <v>70</v>
      </c>
      <c r="EQ23" s="549" t="s">
        <v>249</v>
      </c>
      <c r="ER23" s="550">
        <f t="shared" ref="ER23" si="175">DX23+EC23+EH23+EM23</f>
        <v>1929</v>
      </c>
      <c r="ES23" s="549">
        <f t="shared" ref="ES23" si="176">DY23+ED23+EI23+EN23</f>
        <v>985</v>
      </c>
      <c r="ET23" s="549">
        <f t="shared" ref="ET23" si="177">DZ23+EE23+EJ23+EO23</f>
        <v>108</v>
      </c>
      <c r="EU23" s="549">
        <f t="shared" ref="EU23" si="178">EA23+EF23+EK23+EP23</f>
        <v>354</v>
      </c>
      <c r="EV23" s="549" t="s">
        <v>249</v>
      </c>
      <c r="EW23" s="549">
        <v>519</v>
      </c>
      <c r="EX23" s="549">
        <v>267</v>
      </c>
      <c r="EY23" s="549">
        <v>34</v>
      </c>
      <c r="EZ23" s="549">
        <v>88</v>
      </c>
      <c r="FA23" s="549" t="s">
        <v>249</v>
      </c>
      <c r="FB23" s="549"/>
      <c r="FC23" s="549"/>
      <c r="FD23" s="549"/>
      <c r="FE23" s="549"/>
      <c r="FF23" s="549"/>
      <c r="FG23" s="549"/>
      <c r="FH23" s="549"/>
      <c r="FI23" s="549"/>
      <c r="FJ23" s="549"/>
      <c r="FK23" s="549"/>
      <c r="FL23" s="549"/>
      <c r="FM23" s="549"/>
      <c r="FN23" s="549"/>
      <c r="FO23" s="549"/>
      <c r="FP23" s="549"/>
      <c r="FQ23" s="550">
        <f t="shared" ref="FQ23" si="179">EW23+FB23+FG23+FL23</f>
        <v>519</v>
      </c>
      <c r="FR23" s="549">
        <f t="shared" ref="FR23" si="180">EX23+FC23+FH23+FM23</f>
        <v>267</v>
      </c>
      <c r="FS23" s="549">
        <f t="shared" ref="FS23" si="181">EY23+FD23+FI23+FN23</f>
        <v>34</v>
      </c>
      <c r="FT23" s="549">
        <f t="shared" ref="FT23" si="182">EZ23+FE23+FJ23+FO23</f>
        <v>88</v>
      </c>
      <c r="FU23" s="549" t="s">
        <v>249</v>
      </c>
    </row>
    <row r="24" spans="2:179" ht="15.75" thickBot="1">
      <c r="B24" s="551"/>
      <c r="C24" s="539"/>
      <c r="D24" s="539"/>
      <c r="E24" s="539"/>
      <c r="F24" s="539"/>
      <c r="G24" s="539"/>
      <c r="H24" s="539"/>
      <c r="I24" s="539"/>
      <c r="J24" s="539"/>
      <c r="K24" s="539"/>
      <c r="L24" s="539"/>
      <c r="M24" s="539"/>
      <c r="N24" s="539"/>
      <c r="O24" s="539"/>
      <c r="P24" s="539"/>
      <c r="Q24" s="539"/>
      <c r="R24" s="539"/>
      <c r="S24" s="539"/>
      <c r="T24" s="539"/>
      <c r="U24" s="539"/>
      <c r="V24" s="539"/>
      <c r="W24" s="362"/>
      <c r="X24" s="539"/>
      <c r="Y24" s="539"/>
      <c r="Z24" s="539"/>
      <c r="AA24" s="539"/>
      <c r="AB24" s="539"/>
      <c r="AC24" s="539"/>
      <c r="AD24" s="539"/>
      <c r="AE24" s="539"/>
      <c r="AF24" s="539"/>
      <c r="AG24" s="539"/>
      <c r="AH24" s="539"/>
      <c r="AI24" s="539"/>
      <c r="AJ24" s="539"/>
      <c r="AK24" s="539"/>
      <c r="AL24" s="539"/>
      <c r="AM24" s="539"/>
      <c r="AN24" s="539"/>
      <c r="AO24" s="539"/>
      <c r="AP24" s="539"/>
      <c r="AQ24" s="539"/>
      <c r="AR24" s="539"/>
      <c r="AS24" s="539"/>
      <c r="AT24" s="539"/>
      <c r="AU24" s="539"/>
      <c r="AV24" s="362"/>
      <c r="AW24" s="539"/>
      <c r="AX24" s="539"/>
      <c r="AY24" s="539"/>
      <c r="AZ24" s="539"/>
      <c r="BA24" s="539"/>
      <c r="BB24" s="539"/>
      <c r="BC24" s="539"/>
      <c r="BD24" s="539"/>
      <c r="BE24" s="539"/>
      <c r="BF24" s="539"/>
      <c r="BG24" s="539"/>
      <c r="BH24" s="539"/>
      <c r="BI24" s="539"/>
      <c r="BJ24" s="539"/>
      <c r="BK24" s="539"/>
      <c r="BL24" s="539"/>
      <c r="BM24" s="539"/>
      <c r="BN24" s="539"/>
      <c r="BO24" s="539"/>
      <c r="BP24" s="539"/>
      <c r="BQ24" s="539"/>
      <c r="BR24" s="539"/>
      <c r="BS24" s="539"/>
      <c r="BT24" s="539"/>
      <c r="BU24" s="362"/>
      <c r="BV24" s="539"/>
      <c r="BW24" s="539"/>
      <c r="BX24" s="539"/>
      <c r="BY24" s="539"/>
      <c r="BZ24" s="539"/>
      <c r="CA24" s="539"/>
      <c r="CB24" s="539"/>
      <c r="CC24" s="539"/>
      <c r="CD24" s="539"/>
      <c r="CE24" s="539"/>
      <c r="CF24" s="539"/>
      <c r="CG24" s="539"/>
      <c r="CH24" s="539"/>
      <c r="CI24" s="539"/>
      <c r="CJ24" s="539"/>
      <c r="CK24" s="539"/>
      <c r="CL24" s="539"/>
      <c r="CM24" s="539"/>
      <c r="CN24" s="539"/>
      <c r="CO24" s="539"/>
      <c r="CP24" s="539"/>
      <c r="CQ24" s="539"/>
      <c r="CR24" s="539"/>
      <c r="CS24" s="539"/>
      <c r="CT24" s="362"/>
      <c r="CU24" s="539"/>
      <c r="CV24" s="539"/>
      <c r="CW24" s="539"/>
      <c r="CX24" s="539"/>
      <c r="CY24" s="539"/>
      <c r="CZ24" s="539"/>
      <c r="DA24" s="539"/>
      <c r="DB24" s="539"/>
      <c r="DC24" s="539"/>
      <c r="DD24" s="539"/>
      <c r="DE24" s="539"/>
      <c r="DF24" s="539"/>
      <c r="DG24" s="539"/>
      <c r="DH24" s="539"/>
      <c r="DI24" s="539"/>
      <c r="DJ24" s="539"/>
      <c r="DK24" s="539"/>
      <c r="DL24" s="539"/>
      <c r="DM24" s="539"/>
      <c r="DN24" s="539"/>
      <c r="DO24" s="539"/>
      <c r="DP24" s="539"/>
      <c r="DQ24" s="539"/>
      <c r="DR24" s="539"/>
      <c r="DS24" s="362"/>
      <c r="DT24" s="539"/>
      <c r="DU24" s="539"/>
      <c r="DV24" s="539"/>
      <c r="DW24" s="539"/>
      <c r="DX24" s="539"/>
      <c r="DY24" s="539"/>
      <c r="DZ24" s="539"/>
      <c r="EA24" s="539"/>
      <c r="EB24" s="539"/>
      <c r="EC24" s="539"/>
      <c r="ED24" s="539"/>
      <c r="EE24" s="539"/>
      <c r="EF24" s="539"/>
      <c r="EG24" s="539"/>
      <c r="EH24" s="539"/>
      <c r="EI24" s="539"/>
      <c r="EJ24" s="539"/>
      <c r="EK24" s="539"/>
      <c r="EL24" s="539"/>
      <c r="EM24" s="539"/>
      <c r="EN24" s="539"/>
      <c r="EO24" s="539"/>
      <c r="EP24" s="539"/>
      <c r="EQ24" s="539"/>
      <c r="ER24" s="362"/>
      <c r="ES24" s="539"/>
      <c r="ET24" s="539"/>
      <c r="EU24" s="539"/>
      <c r="EV24" s="539"/>
      <c r="EW24" s="539"/>
      <c r="EX24" s="539"/>
      <c r="EY24" s="539"/>
      <c r="EZ24" s="539"/>
      <c r="FA24" s="539"/>
      <c r="FB24" s="539"/>
      <c r="FC24" s="539"/>
      <c r="FD24" s="539"/>
      <c r="FE24" s="539"/>
      <c r="FF24" s="539"/>
      <c r="FG24" s="539"/>
      <c r="FH24" s="539"/>
      <c r="FI24" s="539"/>
      <c r="FJ24" s="539"/>
      <c r="FK24" s="539"/>
      <c r="FL24" s="539"/>
      <c r="FM24" s="539"/>
      <c r="FN24" s="539"/>
      <c r="FO24" s="539"/>
      <c r="FP24" s="539"/>
      <c r="FQ24" s="362"/>
      <c r="FR24" s="539"/>
      <c r="FS24" s="539"/>
      <c r="FT24" s="539"/>
      <c r="FU24" s="539"/>
    </row>
    <row r="25" spans="2:179" ht="15.75" thickBot="1">
      <c r="B25" s="804" t="str">
        <f>names!$A765</f>
        <v>Produkcja petrochemiczna</v>
      </c>
      <c r="C25" s="538">
        <f>SUM(C26,C29,C32,C37,C42,C45,C46)</f>
        <v>1415</v>
      </c>
      <c r="D25" s="538">
        <f t="shared" ref="D25:BO25" si="183">SUM(D26,D29,D32,D37,D42,D45,D46)</f>
        <v>522</v>
      </c>
      <c r="E25" s="538">
        <f t="shared" si="183"/>
        <v>536</v>
      </c>
      <c r="F25" s="538" t="s">
        <v>249</v>
      </c>
      <c r="G25" s="538">
        <f t="shared" si="183"/>
        <v>427</v>
      </c>
      <c r="H25" s="538">
        <f t="shared" si="183"/>
        <v>1329</v>
      </c>
      <c r="I25" s="538">
        <f t="shared" si="183"/>
        <v>536</v>
      </c>
      <c r="J25" s="538">
        <f t="shared" si="183"/>
        <v>508</v>
      </c>
      <c r="K25" s="538">
        <f t="shared" si="183"/>
        <v>13</v>
      </c>
      <c r="L25" s="538">
        <f t="shared" si="183"/>
        <v>367</v>
      </c>
      <c r="M25" s="538">
        <f t="shared" si="183"/>
        <v>1376</v>
      </c>
      <c r="N25" s="538">
        <f t="shared" si="183"/>
        <v>506</v>
      </c>
      <c r="O25" s="538">
        <f t="shared" si="183"/>
        <v>515</v>
      </c>
      <c r="P25" s="538">
        <f t="shared" si="183"/>
        <v>19</v>
      </c>
      <c r="Q25" s="538">
        <f t="shared" si="183"/>
        <v>400</v>
      </c>
      <c r="R25" s="538">
        <f t="shared" si="183"/>
        <v>1290</v>
      </c>
      <c r="S25" s="538">
        <f t="shared" si="183"/>
        <v>481</v>
      </c>
      <c r="T25" s="538">
        <f t="shared" si="183"/>
        <v>457</v>
      </c>
      <c r="U25" s="538">
        <f t="shared" si="183"/>
        <v>17</v>
      </c>
      <c r="V25" s="538">
        <f t="shared" si="183"/>
        <v>353</v>
      </c>
      <c r="W25" s="361">
        <f t="shared" si="183"/>
        <v>5410</v>
      </c>
      <c r="X25" s="538">
        <f t="shared" si="183"/>
        <v>2045</v>
      </c>
      <c r="Y25" s="538">
        <f t="shared" si="183"/>
        <v>2016</v>
      </c>
      <c r="Z25" s="538">
        <f t="shared" si="183"/>
        <v>49</v>
      </c>
      <c r="AA25" s="538">
        <f t="shared" si="183"/>
        <v>1547</v>
      </c>
      <c r="AB25" s="538">
        <f t="shared" si="183"/>
        <v>1338</v>
      </c>
      <c r="AC25" s="538">
        <f t="shared" si="183"/>
        <v>511</v>
      </c>
      <c r="AD25" s="538">
        <f t="shared" si="183"/>
        <v>504</v>
      </c>
      <c r="AE25" s="538">
        <f t="shared" si="183"/>
        <v>17</v>
      </c>
      <c r="AF25" s="538">
        <f t="shared" si="183"/>
        <v>429</v>
      </c>
      <c r="AG25" s="538">
        <f t="shared" si="183"/>
        <v>976</v>
      </c>
      <c r="AH25" s="538">
        <f t="shared" si="183"/>
        <v>464</v>
      </c>
      <c r="AI25" s="538">
        <f t="shared" si="183"/>
        <v>238</v>
      </c>
      <c r="AJ25" s="538">
        <f t="shared" si="183"/>
        <v>15</v>
      </c>
      <c r="AK25" s="538">
        <f t="shared" si="183"/>
        <v>387</v>
      </c>
      <c r="AL25" s="538">
        <f t="shared" si="183"/>
        <v>1294</v>
      </c>
      <c r="AM25" s="538">
        <f t="shared" si="183"/>
        <v>500</v>
      </c>
      <c r="AN25" s="538">
        <f t="shared" si="183"/>
        <v>433</v>
      </c>
      <c r="AO25" s="538">
        <f t="shared" si="183"/>
        <v>21</v>
      </c>
      <c r="AP25" s="538">
        <f t="shared" si="183"/>
        <v>453</v>
      </c>
      <c r="AQ25" s="538">
        <f t="shared" si="183"/>
        <v>1489</v>
      </c>
      <c r="AR25" s="538">
        <f t="shared" si="183"/>
        <v>511</v>
      </c>
      <c r="AS25" s="538">
        <f t="shared" si="183"/>
        <v>653</v>
      </c>
      <c r="AT25" s="538">
        <f t="shared" si="183"/>
        <v>20</v>
      </c>
      <c r="AU25" s="538">
        <f t="shared" si="183"/>
        <v>404</v>
      </c>
      <c r="AV25" s="361">
        <f t="shared" si="183"/>
        <v>5097</v>
      </c>
      <c r="AW25" s="538">
        <f t="shared" si="183"/>
        <v>1986</v>
      </c>
      <c r="AX25" s="538">
        <f t="shared" si="183"/>
        <v>1828</v>
      </c>
      <c r="AY25" s="538">
        <f t="shared" si="183"/>
        <v>73</v>
      </c>
      <c r="AZ25" s="538">
        <f t="shared" si="183"/>
        <v>1673</v>
      </c>
      <c r="BA25" s="538">
        <f t="shared" si="183"/>
        <v>1357</v>
      </c>
      <c r="BB25" s="538">
        <f t="shared" si="183"/>
        <v>422</v>
      </c>
      <c r="BC25" s="538">
        <f t="shared" si="183"/>
        <v>579</v>
      </c>
      <c r="BD25" s="538">
        <f t="shared" si="183"/>
        <v>21</v>
      </c>
      <c r="BE25" s="538">
        <f t="shared" si="183"/>
        <v>422</v>
      </c>
      <c r="BF25" s="538">
        <f t="shared" si="183"/>
        <v>1137</v>
      </c>
      <c r="BG25" s="538">
        <f t="shared" si="183"/>
        <v>225</v>
      </c>
      <c r="BH25" s="538">
        <f t="shared" si="183"/>
        <v>583</v>
      </c>
      <c r="BI25" s="538">
        <f t="shared" si="183"/>
        <v>14</v>
      </c>
      <c r="BJ25" s="538">
        <f t="shared" si="183"/>
        <v>318</v>
      </c>
      <c r="BK25" s="538">
        <f t="shared" si="183"/>
        <v>1317</v>
      </c>
      <c r="BL25" s="538">
        <f t="shared" si="183"/>
        <v>471</v>
      </c>
      <c r="BM25" s="538">
        <f t="shared" si="183"/>
        <v>496</v>
      </c>
      <c r="BN25" s="538">
        <f t="shared" si="183"/>
        <v>18</v>
      </c>
      <c r="BO25" s="538">
        <f t="shared" si="183"/>
        <v>460</v>
      </c>
      <c r="BP25" s="538">
        <f t="shared" ref="BP25:CI25" si="184">SUM(BP26,BP29,BP32,BP37,BP42,BP45,BP46)</f>
        <v>1358</v>
      </c>
      <c r="BQ25" s="538">
        <f t="shared" si="184"/>
        <v>444</v>
      </c>
      <c r="BR25" s="538">
        <f t="shared" si="184"/>
        <v>627</v>
      </c>
      <c r="BS25" s="538">
        <f t="shared" si="184"/>
        <v>22</v>
      </c>
      <c r="BT25" s="538">
        <f t="shared" si="184"/>
        <v>406</v>
      </c>
      <c r="BU25" s="361">
        <f t="shared" si="184"/>
        <v>5169</v>
      </c>
      <c r="BV25" s="538">
        <f t="shared" si="184"/>
        <v>1562</v>
      </c>
      <c r="BW25" s="538">
        <f t="shared" si="184"/>
        <v>2285</v>
      </c>
      <c r="BX25" s="538">
        <f t="shared" si="184"/>
        <v>75</v>
      </c>
      <c r="BY25" s="538">
        <f t="shared" si="184"/>
        <v>1606</v>
      </c>
      <c r="BZ25" s="538">
        <f t="shared" si="184"/>
        <v>1415</v>
      </c>
      <c r="CA25" s="538">
        <f t="shared" si="184"/>
        <v>528</v>
      </c>
      <c r="CB25" s="538">
        <f t="shared" si="184"/>
        <v>625</v>
      </c>
      <c r="CC25" s="538">
        <f t="shared" si="184"/>
        <v>21</v>
      </c>
      <c r="CD25" s="538">
        <f t="shared" si="184"/>
        <v>371</v>
      </c>
      <c r="CE25" s="538">
        <f t="shared" si="184"/>
        <v>1361</v>
      </c>
      <c r="CF25" s="538">
        <f t="shared" si="184"/>
        <v>514</v>
      </c>
      <c r="CG25" s="538">
        <f t="shared" si="184"/>
        <v>589</v>
      </c>
      <c r="CH25" s="538">
        <f t="shared" si="184"/>
        <v>8</v>
      </c>
      <c r="CI25" s="538">
        <f t="shared" si="184"/>
        <v>443</v>
      </c>
      <c r="CJ25" s="538">
        <f t="shared" ref="CJ25:DC25" si="185">SUM(CJ26,CJ29,CJ32,CJ37,CJ42,CJ45,CJ46)</f>
        <v>1107</v>
      </c>
      <c r="CK25" s="538">
        <f t="shared" si="185"/>
        <v>413</v>
      </c>
      <c r="CL25" s="538">
        <f t="shared" si="185"/>
        <v>452</v>
      </c>
      <c r="CM25" s="538">
        <f t="shared" si="185"/>
        <v>17</v>
      </c>
      <c r="CN25" s="538">
        <f t="shared" si="185"/>
        <v>338</v>
      </c>
      <c r="CO25" s="538">
        <f t="shared" si="185"/>
        <v>1095</v>
      </c>
      <c r="CP25" s="538">
        <f t="shared" si="185"/>
        <v>425</v>
      </c>
      <c r="CQ25" s="538">
        <f t="shared" si="185"/>
        <v>508</v>
      </c>
      <c r="CR25" s="538">
        <f t="shared" si="185"/>
        <v>9</v>
      </c>
      <c r="CS25" s="538">
        <f t="shared" si="185"/>
        <v>305</v>
      </c>
      <c r="CT25" s="361">
        <f t="shared" si="185"/>
        <v>4978</v>
      </c>
      <c r="CU25" s="538">
        <f t="shared" si="185"/>
        <v>1880</v>
      </c>
      <c r="CV25" s="538">
        <f t="shared" si="185"/>
        <v>2174</v>
      </c>
      <c r="CW25" s="538">
        <f t="shared" si="185"/>
        <v>55</v>
      </c>
      <c r="CX25" s="538">
        <f t="shared" si="185"/>
        <v>1457</v>
      </c>
      <c r="CY25" s="538">
        <f t="shared" si="185"/>
        <v>1289</v>
      </c>
      <c r="CZ25" s="538">
        <f t="shared" si="185"/>
        <v>408</v>
      </c>
      <c r="DA25" s="538">
        <f t="shared" si="185"/>
        <v>586</v>
      </c>
      <c r="DB25" s="538">
        <f t="shared" si="185"/>
        <v>9</v>
      </c>
      <c r="DC25" s="538">
        <f t="shared" si="185"/>
        <v>321</v>
      </c>
      <c r="DD25" s="538">
        <f t="shared" ref="DD25:DH25" si="186">SUM(DD26,DD29,DD32,DD37,DD42,DD45,DD46)</f>
        <v>903</v>
      </c>
      <c r="DE25" s="538">
        <f t="shared" si="186"/>
        <v>368</v>
      </c>
      <c r="DF25" s="538">
        <f t="shared" si="186"/>
        <v>283</v>
      </c>
      <c r="DG25" s="538">
        <f t="shared" si="186"/>
        <v>11</v>
      </c>
      <c r="DH25" s="538">
        <f t="shared" si="186"/>
        <v>324</v>
      </c>
      <c r="DI25" s="538">
        <v>1076</v>
      </c>
      <c r="DJ25" s="538">
        <f t="shared" ref="DJ25:DM25" si="187">SUM(DJ26,DJ29,DJ32,DJ37,DJ42,DJ45,DJ46)</f>
        <v>393</v>
      </c>
      <c r="DK25" s="538">
        <f t="shared" si="187"/>
        <v>449</v>
      </c>
      <c r="DL25" s="538">
        <f t="shared" si="187"/>
        <v>5</v>
      </c>
      <c r="DM25" s="538">
        <f t="shared" si="187"/>
        <v>364</v>
      </c>
      <c r="DN25" s="538">
        <f t="shared" ref="DN25:EB25" si="188">SUM(DN26,DN29,DN32,DN37,DN42,DN45,DN46)</f>
        <v>1095</v>
      </c>
      <c r="DO25" s="538">
        <f t="shared" si="188"/>
        <v>273</v>
      </c>
      <c r="DP25" s="538">
        <f t="shared" si="188"/>
        <v>525</v>
      </c>
      <c r="DQ25" s="538">
        <f t="shared" si="188"/>
        <v>13</v>
      </c>
      <c r="DR25" s="538">
        <f t="shared" si="188"/>
        <v>315</v>
      </c>
      <c r="DS25" s="361">
        <f t="shared" si="188"/>
        <v>4363</v>
      </c>
      <c r="DT25" s="538">
        <f t="shared" si="188"/>
        <v>1389</v>
      </c>
      <c r="DU25" s="538">
        <f t="shared" si="188"/>
        <v>1843</v>
      </c>
      <c r="DV25" s="538">
        <f t="shared" si="188"/>
        <v>38</v>
      </c>
      <c r="DW25" s="538">
        <f t="shared" si="188"/>
        <v>1324</v>
      </c>
      <c r="DX25" s="538">
        <f t="shared" si="188"/>
        <v>1340</v>
      </c>
      <c r="DY25" s="538">
        <f t="shared" si="188"/>
        <v>461</v>
      </c>
      <c r="DZ25" s="538">
        <f t="shared" si="188"/>
        <v>567</v>
      </c>
      <c r="EA25" s="538">
        <f t="shared" si="188"/>
        <v>17</v>
      </c>
      <c r="EB25" s="538">
        <f t="shared" si="188"/>
        <v>411</v>
      </c>
      <c r="EC25" s="538">
        <f t="shared" ref="EC25:EG25" si="189">SUM(EC26,EC29,EC32,EC37,EC42,EC45,EC46)</f>
        <v>1156</v>
      </c>
      <c r="ED25" s="538">
        <f t="shared" si="189"/>
        <v>435</v>
      </c>
      <c r="EE25" s="538">
        <f t="shared" si="189"/>
        <v>411</v>
      </c>
      <c r="EF25" s="538">
        <f t="shared" si="189"/>
        <v>21</v>
      </c>
      <c r="EG25" s="538">
        <f t="shared" si="189"/>
        <v>398</v>
      </c>
      <c r="EH25" s="538">
        <f t="shared" ref="EH25:FA25" si="190">SUM(EH26,EH29,EH32,EH37,EH42,EH45,EH46)</f>
        <v>1254</v>
      </c>
      <c r="EI25" s="538">
        <f t="shared" si="190"/>
        <v>478</v>
      </c>
      <c r="EJ25" s="538">
        <f t="shared" si="190"/>
        <v>436</v>
      </c>
      <c r="EK25" s="538">
        <f t="shared" si="190"/>
        <v>22</v>
      </c>
      <c r="EL25" s="538">
        <f t="shared" si="190"/>
        <v>458</v>
      </c>
      <c r="EM25" s="538">
        <f t="shared" si="190"/>
        <v>1283</v>
      </c>
      <c r="EN25" s="538">
        <f t="shared" si="190"/>
        <v>446</v>
      </c>
      <c r="EO25" s="538">
        <f t="shared" si="190"/>
        <v>535</v>
      </c>
      <c r="EP25" s="538">
        <f>SUM(EP26,EP29,EP32,EP37,EP42,EP45,EP46)</f>
        <v>6</v>
      </c>
      <c r="EQ25" s="538">
        <f t="shared" si="190"/>
        <v>386</v>
      </c>
      <c r="ER25" s="361">
        <f t="shared" si="190"/>
        <v>5012</v>
      </c>
      <c r="ES25" s="538">
        <f t="shared" si="190"/>
        <v>1738</v>
      </c>
      <c r="ET25" s="538">
        <f t="shared" si="190"/>
        <v>1949</v>
      </c>
      <c r="EU25" s="538">
        <f t="shared" si="190"/>
        <v>66</v>
      </c>
      <c r="EV25" s="538">
        <f>SUM(EV26,EV29,EV32,EV37,EV42,EV45,EV46)</f>
        <v>1632</v>
      </c>
      <c r="EW25" s="538">
        <f t="shared" si="190"/>
        <v>1068</v>
      </c>
      <c r="EX25" s="538">
        <f t="shared" si="190"/>
        <v>388</v>
      </c>
      <c r="EY25" s="538">
        <f t="shared" si="190"/>
        <v>431</v>
      </c>
      <c r="EZ25" s="538">
        <f t="shared" si="190"/>
        <v>18</v>
      </c>
      <c r="FA25" s="538">
        <f t="shared" si="190"/>
        <v>312</v>
      </c>
      <c r="FB25" s="538">
        <f t="shared" ref="FB25:FP25" si="191">SUM(FB26,FB29,FB32,FB37,FB42,FB45,FB46)</f>
        <v>0</v>
      </c>
      <c r="FC25" s="538">
        <f t="shared" si="191"/>
        <v>0</v>
      </c>
      <c r="FD25" s="538">
        <f t="shared" si="191"/>
        <v>0</v>
      </c>
      <c r="FE25" s="538">
        <f t="shared" si="191"/>
        <v>0</v>
      </c>
      <c r="FF25" s="538">
        <f t="shared" si="191"/>
        <v>0</v>
      </c>
      <c r="FG25" s="538">
        <f t="shared" si="191"/>
        <v>0</v>
      </c>
      <c r="FH25" s="538">
        <f t="shared" si="191"/>
        <v>0</v>
      </c>
      <c r="FI25" s="538">
        <f t="shared" si="191"/>
        <v>0</v>
      </c>
      <c r="FJ25" s="538">
        <f t="shared" si="191"/>
        <v>0</v>
      </c>
      <c r="FK25" s="538">
        <f t="shared" si="191"/>
        <v>0</v>
      </c>
      <c r="FL25" s="538">
        <f t="shared" si="191"/>
        <v>0</v>
      </c>
      <c r="FM25" s="538">
        <f t="shared" si="191"/>
        <v>0</v>
      </c>
      <c r="FN25" s="538">
        <f t="shared" si="191"/>
        <v>0</v>
      </c>
      <c r="FO25" s="538">
        <f t="shared" si="191"/>
        <v>0</v>
      </c>
      <c r="FP25" s="538">
        <f t="shared" si="191"/>
        <v>0</v>
      </c>
      <c r="FQ25" s="361">
        <f t="shared" ref="FQ25:FU25" si="192">SUM(FQ26,FQ29,FQ32,FQ37,FQ42,FQ45,FQ46)</f>
        <v>1060</v>
      </c>
      <c r="FR25" s="538">
        <f t="shared" si="192"/>
        <v>369</v>
      </c>
      <c r="FS25" s="538">
        <f t="shared" si="192"/>
        <v>431</v>
      </c>
      <c r="FT25" s="538">
        <f t="shared" si="192"/>
        <v>18</v>
      </c>
      <c r="FU25" s="538">
        <f t="shared" si="192"/>
        <v>304</v>
      </c>
      <c r="FW25" s="800"/>
    </row>
    <row r="26" spans="2:179">
      <c r="B26" s="99" t="str">
        <f>names!$A766</f>
        <v>Monomery, w tym:</v>
      </c>
      <c r="C26" s="539">
        <f>SUM(C27:C28)</f>
        <v>253</v>
      </c>
      <c r="D26" s="539">
        <f t="shared" ref="D26:BN26" si="193">SUM(D27:D28)</f>
        <v>236</v>
      </c>
      <c r="E26" s="539">
        <f t="shared" si="193"/>
        <v>43</v>
      </c>
      <c r="F26" s="539" t="s">
        <v>249</v>
      </c>
      <c r="G26" s="539" t="s">
        <v>249</v>
      </c>
      <c r="H26" s="539">
        <f t="shared" si="193"/>
        <v>284</v>
      </c>
      <c r="I26" s="539">
        <f t="shared" si="193"/>
        <v>252</v>
      </c>
      <c r="J26" s="539">
        <f t="shared" si="193"/>
        <v>49</v>
      </c>
      <c r="K26" s="539">
        <f t="shared" si="193"/>
        <v>13</v>
      </c>
      <c r="L26" s="539" t="s">
        <v>249</v>
      </c>
      <c r="M26" s="539">
        <f t="shared" si="193"/>
        <v>266</v>
      </c>
      <c r="N26" s="539">
        <f t="shared" si="193"/>
        <v>222</v>
      </c>
      <c r="O26" s="539">
        <f t="shared" si="193"/>
        <v>49</v>
      </c>
      <c r="P26" s="539">
        <f t="shared" si="193"/>
        <v>19</v>
      </c>
      <c r="Q26" s="539" t="s">
        <v>249</v>
      </c>
      <c r="R26" s="539">
        <f t="shared" si="193"/>
        <v>241</v>
      </c>
      <c r="S26" s="539">
        <f t="shared" si="193"/>
        <v>207</v>
      </c>
      <c r="T26" s="539">
        <f t="shared" si="193"/>
        <v>22</v>
      </c>
      <c r="U26" s="539">
        <f t="shared" si="193"/>
        <v>17</v>
      </c>
      <c r="V26" s="539" t="s">
        <v>249</v>
      </c>
      <c r="W26" s="364">
        <f t="shared" si="193"/>
        <v>1044</v>
      </c>
      <c r="X26" s="539">
        <f t="shared" si="193"/>
        <v>917</v>
      </c>
      <c r="Y26" s="539">
        <f t="shared" si="193"/>
        <v>163</v>
      </c>
      <c r="Z26" s="539">
        <f t="shared" si="193"/>
        <v>49</v>
      </c>
      <c r="AA26" s="539" t="s">
        <v>249</v>
      </c>
      <c r="AB26" s="539">
        <f t="shared" si="193"/>
        <v>250</v>
      </c>
      <c r="AC26" s="539">
        <f t="shared" si="193"/>
        <v>230</v>
      </c>
      <c r="AD26" s="539">
        <f t="shared" si="193"/>
        <v>34</v>
      </c>
      <c r="AE26" s="539">
        <f t="shared" si="193"/>
        <v>17</v>
      </c>
      <c r="AF26" s="539" t="s">
        <v>249</v>
      </c>
      <c r="AG26" s="539">
        <f t="shared" si="193"/>
        <v>226</v>
      </c>
      <c r="AH26" s="539">
        <f t="shared" si="193"/>
        <v>226</v>
      </c>
      <c r="AI26" s="539">
        <f t="shared" si="193"/>
        <v>11</v>
      </c>
      <c r="AJ26" s="539">
        <f t="shared" si="193"/>
        <v>15</v>
      </c>
      <c r="AK26" s="539" t="s">
        <v>249</v>
      </c>
      <c r="AL26" s="539">
        <f t="shared" si="193"/>
        <v>282</v>
      </c>
      <c r="AM26" s="539">
        <f t="shared" si="193"/>
        <v>244</v>
      </c>
      <c r="AN26" s="539">
        <f t="shared" si="193"/>
        <v>47</v>
      </c>
      <c r="AO26" s="539">
        <f t="shared" si="193"/>
        <v>21</v>
      </c>
      <c r="AP26" s="539" t="s">
        <v>249</v>
      </c>
      <c r="AQ26" s="539">
        <f t="shared" si="193"/>
        <v>249</v>
      </c>
      <c r="AR26" s="539">
        <f t="shared" si="193"/>
        <v>216</v>
      </c>
      <c r="AS26" s="539">
        <f t="shared" si="193"/>
        <v>39</v>
      </c>
      <c r="AT26" s="539">
        <f t="shared" si="193"/>
        <v>20</v>
      </c>
      <c r="AU26" s="539" t="s">
        <v>249</v>
      </c>
      <c r="AV26" s="364">
        <f t="shared" ref="AV26:AY26" si="194">SUM(AV27:AV28)</f>
        <v>1007</v>
      </c>
      <c r="AW26" s="539">
        <f t="shared" si="194"/>
        <v>916</v>
      </c>
      <c r="AX26" s="539">
        <f t="shared" si="194"/>
        <v>131</v>
      </c>
      <c r="AY26" s="539">
        <f t="shared" si="194"/>
        <v>73</v>
      </c>
      <c r="AZ26" s="539" t="s">
        <v>249</v>
      </c>
      <c r="BA26" s="539">
        <f t="shared" si="193"/>
        <v>221</v>
      </c>
      <c r="BB26" s="539">
        <f t="shared" si="193"/>
        <v>185</v>
      </c>
      <c r="BC26" s="539">
        <f t="shared" si="193"/>
        <v>35</v>
      </c>
      <c r="BD26" s="539">
        <f t="shared" si="193"/>
        <v>21</v>
      </c>
      <c r="BE26" s="539" t="s">
        <v>249</v>
      </c>
      <c r="BF26" s="539">
        <f t="shared" si="193"/>
        <v>95</v>
      </c>
      <c r="BG26" s="539">
        <f t="shared" si="193"/>
        <v>27</v>
      </c>
      <c r="BH26" s="539">
        <f t="shared" si="193"/>
        <v>49</v>
      </c>
      <c r="BI26" s="539">
        <f t="shared" si="193"/>
        <v>14</v>
      </c>
      <c r="BJ26" s="539" t="s">
        <v>249</v>
      </c>
      <c r="BK26" s="539">
        <f t="shared" si="193"/>
        <v>257</v>
      </c>
      <c r="BL26" s="539">
        <f t="shared" si="193"/>
        <v>236</v>
      </c>
      <c r="BM26" s="539">
        <f t="shared" si="193"/>
        <v>33</v>
      </c>
      <c r="BN26" s="539">
        <f t="shared" si="193"/>
        <v>18</v>
      </c>
      <c r="BO26" s="539" t="s">
        <v>249</v>
      </c>
      <c r="BP26" s="539">
        <f t="shared" ref="BP26:BX26" si="195">SUM(BP27:BP28)</f>
        <v>285</v>
      </c>
      <c r="BQ26" s="539">
        <f t="shared" si="195"/>
        <v>250</v>
      </c>
      <c r="BR26" s="539">
        <f t="shared" si="195"/>
        <v>42</v>
      </c>
      <c r="BS26" s="539">
        <f t="shared" si="195"/>
        <v>22</v>
      </c>
      <c r="BT26" s="539" t="s">
        <v>249</v>
      </c>
      <c r="BU26" s="364">
        <f t="shared" si="195"/>
        <v>858</v>
      </c>
      <c r="BV26" s="539">
        <f t="shared" si="195"/>
        <v>698</v>
      </c>
      <c r="BW26" s="539">
        <f t="shared" si="195"/>
        <v>159</v>
      </c>
      <c r="BX26" s="539">
        <f t="shared" si="195"/>
        <v>75</v>
      </c>
      <c r="BY26" s="539" t="s">
        <v>249</v>
      </c>
      <c r="BZ26" s="539">
        <f t="shared" ref="BZ26:CC26" si="196">SUM(BZ27:BZ28)</f>
        <v>260</v>
      </c>
      <c r="CA26" s="539">
        <f t="shared" si="196"/>
        <v>240</v>
      </c>
      <c r="CB26" s="539">
        <f t="shared" si="196"/>
        <v>30</v>
      </c>
      <c r="CC26" s="539">
        <f t="shared" si="196"/>
        <v>21</v>
      </c>
      <c r="CD26" s="539" t="s">
        <v>249</v>
      </c>
      <c r="CE26" s="539">
        <f t="shared" ref="CE26:CH26" si="197">SUM(CE27:CE28)</f>
        <v>242</v>
      </c>
      <c r="CF26" s="539">
        <f t="shared" si="197"/>
        <v>241</v>
      </c>
      <c r="CG26" s="539">
        <f t="shared" si="197"/>
        <v>19</v>
      </c>
      <c r="CH26" s="539">
        <f t="shared" si="197"/>
        <v>8</v>
      </c>
      <c r="CI26" s="539" t="s">
        <v>249</v>
      </c>
      <c r="CJ26" s="539">
        <f t="shared" ref="CJ26:CR26" si="198">SUM(CJ27:CJ28)</f>
        <v>206</v>
      </c>
      <c r="CK26" s="539">
        <f t="shared" si="198"/>
        <v>194</v>
      </c>
      <c r="CL26" s="539">
        <f t="shared" si="198"/>
        <v>20</v>
      </c>
      <c r="CM26" s="539">
        <f t="shared" si="198"/>
        <v>17</v>
      </c>
      <c r="CN26" s="539" t="s">
        <v>249</v>
      </c>
      <c r="CO26" s="539">
        <f t="shared" si="198"/>
        <v>197</v>
      </c>
      <c r="CP26" s="539">
        <f t="shared" si="198"/>
        <v>201</v>
      </c>
      <c r="CQ26" s="539">
        <f t="shared" si="198"/>
        <v>31</v>
      </c>
      <c r="CR26" s="539">
        <f t="shared" si="198"/>
        <v>9</v>
      </c>
      <c r="CS26" s="539" t="s">
        <v>249</v>
      </c>
      <c r="CT26" s="364">
        <f t="shared" ref="CT26:CW26" si="199">SUM(CT27:CT28)</f>
        <v>905</v>
      </c>
      <c r="CU26" s="539">
        <f t="shared" si="199"/>
        <v>876</v>
      </c>
      <c r="CV26" s="539">
        <f t="shared" si="199"/>
        <v>100</v>
      </c>
      <c r="CW26" s="539">
        <f t="shared" si="199"/>
        <v>55</v>
      </c>
      <c r="CX26" s="539" t="s">
        <v>249</v>
      </c>
      <c r="CY26" s="539">
        <f t="shared" ref="CY26:DB26" si="200">SUM(CY27:CY28)</f>
        <v>193</v>
      </c>
      <c r="CZ26" s="539">
        <f t="shared" si="200"/>
        <v>184</v>
      </c>
      <c r="DA26" s="539">
        <f t="shared" si="200"/>
        <v>29</v>
      </c>
      <c r="DB26" s="539">
        <f t="shared" si="200"/>
        <v>9</v>
      </c>
      <c r="DC26" s="539" t="s">
        <v>249</v>
      </c>
      <c r="DD26" s="539">
        <f t="shared" ref="DD26:DG26" si="201">SUM(DD27:DD28)</f>
        <v>170</v>
      </c>
      <c r="DE26" s="539">
        <f t="shared" si="201"/>
        <v>165</v>
      </c>
      <c r="DF26" s="539">
        <f t="shared" si="201"/>
        <v>14</v>
      </c>
      <c r="DG26" s="539">
        <f t="shared" si="201"/>
        <v>11</v>
      </c>
      <c r="DH26" s="539" t="s">
        <v>249</v>
      </c>
      <c r="DI26" s="539">
        <v>182</v>
      </c>
      <c r="DJ26" s="539">
        <f t="shared" ref="DJ26:DL26" si="202">SUM(DJ27:DJ28)</f>
        <v>179</v>
      </c>
      <c r="DK26" s="539">
        <f t="shared" si="202"/>
        <v>33</v>
      </c>
      <c r="DL26" s="539">
        <f t="shared" si="202"/>
        <v>5</v>
      </c>
      <c r="DM26" s="539" t="s">
        <v>249</v>
      </c>
      <c r="DN26" s="539">
        <f t="shared" ref="DN26:DQ26" si="203">SUM(DN27:DN28)</f>
        <v>121</v>
      </c>
      <c r="DO26" s="539">
        <f t="shared" si="203"/>
        <v>87</v>
      </c>
      <c r="DP26" s="539">
        <f t="shared" si="203"/>
        <v>27</v>
      </c>
      <c r="DQ26" s="539">
        <f t="shared" si="203"/>
        <v>13</v>
      </c>
      <c r="DR26" s="539" t="s">
        <v>249</v>
      </c>
      <c r="DS26" s="364">
        <f t="shared" ref="DS26:DV26" si="204">SUM(DS27:DS28)</f>
        <v>666</v>
      </c>
      <c r="DT26" s="539">
        <f t="shared" si="204"/>
        <v>615</v>
      </c>
      <c r="DU26" s="539">
        <f t="shared" si="204"/>
        <v>103</v>
      </c>
      <c r="DV26" s="539">
        <f t="shared" si="204"/>
        <v>38</v>
      </c>
      <c r="DW26" s="539" t="s">
        <v>249</v>
      </c>
      <c r="DX26" s="539">
        <f t="shared" ref="DX26:EA26" si="205">SUM(DX27:DX28)</f>
        <v>196</v>
      </c>
      <c r="DY26" s="539">
        <f t="shared" si="205"/>
        <v>185</v>
      </c>
      <c r="DZ26" s="539">
        <f t="shared" si="205"/>
        <v>27</v>
      </c>
      <c r="EA26" s="539">
        <f t="shared" si="205"/>
        <v>17</v>
      </c>
      <c r="EB26" s="539" t="s">
        <v>249</v>
      </c>
      <c r="EC26" s="539">
        <f t="shared" ref="EC26:EF26" si="206">SUM(EC27:EC28)</f>
        <v>215</v>
      </c>
      <c r="ED26" s="539">
        <f t="shared" si="206"/>
        <v>199</v>
      </c>
      <c r="EE26" s="539">
        <f t="shared" si="206"/>
        <v>18</v>
      </c>
      <c r="EF26" s="539">
        <f t="shared" si="206"/>
        <v>21</v>
      </c>
      <c r="EG26" s="539" t="s">
        <v>249</v>
      </c>
      <c r="EH26" s="539">
        <f t="shared" ref="EH26:EK26" si="207">SUM(EH27:EH28)</f>
        <v>232</v>
      </c>
      <c r="EI26" s="539">
        <f t="shared" si="207"/>
        <v>189</v>
      </c>
      <c r="EJ26" s="539">
        <f t="shared" si="207"/>
        <v>59</v>
      </c>
      <c r="EK26" s="539">
        <f t="shared" si="207"/>
        <v>22</v>
      </c>
      <c r="EL26" s="539" t="s">
        <v>249</v>
      </c>
      <c r="EM26" s="539">
        <f t="shared" ref="EM26:EP26" si="208">SUM(EM27:EM28)</f>
        <v>172</v>
      </c>
      <c r="EN26" s="539">
        <f t="shared" si="208"/>
        <v>159</v>
      </c>
      <c r="EO26" s="539">
        <f t="shared" si="208"/>
        <v>32</v>
      </c>
      <c r="EP26" s="539">
        <f t="shared" si="208"/>
        <v>6</v>
      </c>
      <c r="EQ26" s="539" t="s">
        <v>249</v>
      </c>
      <c r="ER26" s="364">
        <f t="shared" ref="ER26:EU26" si="209">SUM(ER27:ER28)</f>
        <v>815</v>
      </c>
      <c r="ES26" s="539">
        <f t="shared" si="209"/>
        <v>732</v>
      </c>
      <c r="ET26" s="539">
        <f t="shared" si="209"/>
        <v>136</v>
      </c>
      <c r="EU26" s="539">
        <f t="shared" si="209"/>
        <v>66</v>
      </c>
      <c r="EV26" s="539" t="s">
        <v>249</v>
      </c>
      <c r="EW26" s="539">
        <f t="shared" ref="EW26:EZ26" si="210">SUM(EW27:EW28)</f>
        <v>212</v>
      </c>
      <c r="EX26" s="539">
        <f t="shared" si="210"/>
        <v>173</v>
      </c>
      <c r="EY26" s="539">
        <f t="shared" si="210"/>
        <v>35</v>
      </c>
      <c r="EZ26" s="539">
        <f t="shared" si="210"/>
        <v>18</v>
      </c>
      <c r="FA26" s="539" t="s">
        <v>249</v>
      </c>
      <c r="FB26" s="539">
        <f t="shared" ref="FB26:FE26" si="211">SUM(FB27:FB28)</f>
        <v>0</v>
      </c>
      <c r="FC26" s="539">
        <f t="shared" si="211"/>
        <v>0</v>
      </c>
      <c r="FD26" s="539">
        <f t="shared" si="211"/>
        <v>0</v>
      </c>
      <c r="FE26" s="539">
        <f t="shared" si="211"/>
        <v>0</v>
      </c>
      <c r="FF26" s="539" t="s">
        <v>249</v>
      </c>
      <c r="FG26" s="539">
        <f t="shared" ref="FG26:FJ26" si="212">SUM(FG27:FG28)</f>
        <v>0</v>
      </c>
      <c r="FH26" s="539">
        <f t="shared" si="212"/>
        <v>0</v>
      </c>
      <c r="FI26" s="539">
        <f t="shared" si="212"/>
        <v>0</v>
      </c>
      <c r="FJ26" s="539">
        <f t="shared" si="212"/>
        <v>0</v>
      </c>
      <c r="FK26" s="539" t="s">
        <v>249</v>
      </c>
      <c r="FL26" s="539">
        <f t="shared" ref="FL26:FO26" si="213">SUM(FL27:FL28)</f>
        <v>0</v>
      </c>
      <c r="FM26" s="539">
        <f t="shared" si="213"/>
        <v>0</v>
      </c>
      <c r="FN26" s="539">
        <f t="shared" si="213"/>
        <v>0</v>
      </c>
      <c r="FO26" s="539">
        <f t="shared" si="213"/>
        <v>0</v>
      </c>
      <c r="FP26" s="539" t="s">
        <v>249</v>
      </c>
      <c r="FQ26" s="364">
        <f t="shared" ref="FQ26:FT26" si="214">SUM(FQ27:FQ28)</f>
        <v>212</v>
      </c>
      <c r="FR26" s="539">
        <f>SUM(FR27:FR28)</f>
        <v>173</v>
      </c>
      <c r="FS26" s="539">
        <f t="shared" si="214"/>
        <v>35</v>
      </c>
      <c r="FT26" s="539">
        <f t="shared" si="214"/>
        <v>18</v>
      </c>
      <c r="FU26" s="539" t="s">
        <v>249</v>
      </c>
    </row>
    <row r="27" spans="2:179" outlineLevel="1">
      <c r="B27" s="546" t="str">
        <f>names!$A767</f>
        <v xml:space="preserve">  - etylen</v>
      </c>
      <c r="C27" s="541">
        <v>147</v>
      </c>
      <c r="D27" s="541">
        <v>134</v>
      </c>
      <c r="E27" s="541">
        <v>39</v>
      </c>
      <c r="F27" s="541" t="s">
        <v>249</v>
      </c>
      <c r="G27" s="541" t="s">
        <v>249</v>
      </c>
      <c r="H27" s="541">
        <v>143</v>
      </c>
      <c r="I27" s="541">
        <v>133</v>
      </c>
      <c r="J27" s="541">
        <v>41</v>
      </c>
      <c r="K27" s="541" t="s">
        <v>249</v>
      </c>
      <c r="L27" s="541" t="s">
        <v>249</v>
      </c>
      <c r="M27" s="541">
        <v>133</v>
      </c>
      <c r="N27" s="541">
        <v>112</v>
      </c>
      <c r="O27" s="541">
        <v>43</v>
      </c>
      <c r="P27" s="541" t="s">
        <v>249</v>
      </c>
      <c r="Q27" s="541" t="s">
        <v>249</v>
      </c>
      <c r="R27" s="541">
        <v>107</v>
      </c>
      <c r="S27" s="541">
        <v>96</v>
      </c>
      <c r="T27" s="541">
        <v>18</v>
      </c>
      <c r="U27" s="541" t="s">
        <v>249</v>
      </c>
      <c r="V27" s="541" t="s">
        <v>249</v>
      </c>
      <c r="W27" s="552">
        <f>SUM(C27,H27,M27,R27)</f>
        <v>530</v>
      </c>
      <c r="X27" s="541">
        <f t="shared" ref="X27:Z28" si="215">SUM(D27,I27,N27,S27)</f>
        <v>475</v>
      </c>
      <c r="Y27" s="541">
        <f t="shared" si="215"/>
        <v>141</v>
      </c>
      <c r="Z27" s="541" t="s">
        <v>249</v>
      </c>
      <c r="AA27" s="541" t="s">
        <v>249</v>
      </c>
      <c r="AB27" s="541">
        <v>120</v>
      </c>
      <c r="AC27" s="541">
        <v>120</v>
      </c>
      <c r="AD27" s="541">
        <v>27</v>
      </c>
      <c r="AE27" s="541" t="s">
        <v>249</v>
      </c>
      <c r="AF27" s="541" t="s">
        <v>249</v>
      </c>
      <c r="AG27" s="541">
        <v>96</v>
      </c>
      <c r="AH27" s="541">
        <v>125</v>
      </c>
      <c r="AI27" s="541" t="s">
        <v>249</v>
      </c>
      <c r="AJ27" s="541" t="s">
        <v>249</v>
      </c>
      <c r="AK27" s="541" t="s">
        <v>249</v>
      </c>
      <c r="AL27" s="541">
        <v>124</v>
      </c>
      <c r="AM27" s="541">
        <v>128</v>
      </c>
      <c r="AN27" s="541">
        <v>26</v>
      </c>
      <c r="AO27" s="541" t="s">
        <v>249</v>
      </c>
      <c r="AP27" s="541" t="s">
        <v>249</v>
      </c>
      <c r="AQ27" s="541">
        <v>118</v>
      </c>
      <c r="AR27" s="541">
        <v>115</v>
      </c>
      <c r="AS27" s="541">
        <v>29</v>
      </c>
      <c r="AT27" s="541" t="s">
        <v>249</v>
      </c>
      <c r="AU27" s="541" t="s">
        <v>249</v>
      </c>
      <c r="AV27" s="552">
        <f>SUM(AB27,AG27,AL27,AQ27)</f>
        <v>458</v>
      </c>
      <c r="AW27" s="541">
        <f t="shared" ref="AW27:AY28" si="216">SUM(AC27,AH27,AM27,AR27)</f>
        <v>488</v>
      </c>
      <c r="AX27" s="541">
        <f t="shared" si="216"/>
        <v>82</v>
      </c>
      <c r="AY27" s="541" t="s">
        <v>249</v>
      </c>
      <c r="AZ27" s="541" t="s">
        <v>249</v>
      </c>
      <c r="BA27" s="541">
        <v>92</v>
      </c>
      <c r="BB27" s="541">
        <v>97</v>
      </c>
      <c r="BC27" s="541">
        <v>15</v>
      </c>
      <c r="BD27" s="541" t="s">
        <v>249</v>
      </c>
      <c r="BE27" s="541" t="s">
        <v>249</v>
      </c>
      <c r="BF27" s="541">
        <v>38</v>
      </c>
      <c r="BG27" s="541">
        <v>2</v>
      </c>
      <c r="BH27" s="541">
        <v>31</v>
      </c>
      <c r="BI27" s="541" t="s">
        <v>249</v>
      </c>
      <c r="BJ27" s="541" t="s">
        <v>249</v>
      </c>
      <c r="BK27" s="541">
        <v>106</v>
      </c>
      <c r="BL27" s="541">
        <v>120</v>
      </c>
      <c r="BM27" s="541">
        <v>17</v>
      </c>
      <c r="BN27" s="541" t="s">
        <v>249</v>
      </c>
      <c r="BO27" s="541" t="s">
        <v>249</v>
      </c>
      <c r="BP27" s="541">
        <v>123</v>
      </c>
      <c r="BQ27" s="541">
        <v>129</v>
      </c>
      <c r="BR27" s="541">
        <v>22</v>
      </c>
      <c r="BS27" s="541" t="s">
        <v>249</v>
      </c>
      <c r="BT27" s="541" t="s">
        <v>249</v>
      </c>
      <c r="BU27" s="552">
        <f>SUM(BA27,BF27,BK27,BP27)</f>
        <v>359</v>
      </c>
      <c r="BV27" s="541">
        <f t="shared" ref="BV27:BX28" si="217">SUM(BB27,BG27,BL27,BQ27)</f>
        <v>348</v>
      </c>
      <c r="BW27" s="541">
        <f t="shared" si="217"/>
        <v>85</v>
      </c>
      <c r="BX27" s="541" t="s">
        <v>249</v>
      </c>
      <c r="BY27" s="541" t="s">
        <v>249</v>
      </c>
      <c r="BZ27" s="541">
        <v>120</v>
      </c>
      <c r="CA27" s="541">
        <v>125</v>
      </c>
      <c r="CB27" s="541">
        <v>26</v>
      </c>
      <c r="CC27" s="541" t="s">
        <v>249</v>
      </c>
      <c r="CD27" s="541" t="s">
        <v>249</v>
      </c>
      <c r="CE27" s="541">
        <v>113</v>
      </c>
      <c r="CF27" s="541">
        <v>121</v>
      </c>
      <c r="CG27" s="541">
        <v>18</v>
      </c>
      <c r="CH27" s="541" t="s">
        <v>249</v>
      </c>
      <c r="CI27" s="541" t="s">
        <v>249</v>
      </c>
      <c r="CJ27" s="541">
        <v>98</v>
      </c>
      <c r="CK27" s="541">
        <v>105</v>
      </c>
      <c r="CL27" s="541">
        <v>18</v>
      </c>
      <c r="CM27" s="541" t="s">
        <v>249</v>
      </c>
      <c r="CN27" s="541" t="s">
        <v>249</v>
      </c>
      <c r="CO27" s="541">
        <v>102</v>
      </c>
      <c r="CP27" s="541">
        <v>108</v>
      </c>
      <c r="CQ27" s="541">
        <v>24</v>
      </c>
      <c r="CR27" s="541" t="s">
        <v>249</v>
      </c>
      <c r="CS27" s="541" t="s">
        <v>249</v>
      </c>
      <c r="CT27" s="552">
        <f>SUM(BZ27,CE27,CJ27,CO27)</f>
        <v>433</v>
      </c>
      <c r="CU27" s="541">
        <f t="shared" ref="CU27:CU28" si="218">SUM(CA27,CF27,CK27,CP27)</f>
        <v>459</v>
      </c>
      <c r="CV27" s="541">
        <f t="shared" ref="CV27:CV28" si="219">SUM(CB27,CG27,CL27,CQ27)</f>
        <v>86</v>
      </c>
      <c r="CW27" s="541" t="s">
        <v>249</v>
      </c>
      <c r="CX27" s="541" t="s">
        <v>249</v>
      </c>
      <c r="CY27" s="541">
        <v>88</v>
      </c>
      <c r="CZ27" s="541">
        <v>92</v>
      </c>
      <c r="DA27" s="541">
        <v>24</v>
      </c>
      <c r="DB27" s="541" t="s">
        <v>249</v>
      </c>
      <c r="DC27" s="541" t="s">
        <v>249</v>
      </c>
      <c r="DD27" s="541">
        <v>78</v>
      </c>
      <c r="DE27" s="541">
        <v>85</v>
      </c>
      <c r="DF27" s="541">
        <v>10</v>
      </c>
      <c r="DG27" s="541" t="s">
        <v>249</v>
      </c>
      <c r="DH27" s="541" t="s">
        <v>249</v>
      </c>
      <c r="DI27" s="541">
        <v>85</v>
      </c>
      <c r="DJ27" s="541">
        <v>90</v>
      </c>
      <c r="DK27" s="541">
        <v>22</v>
      </c>
      <c r="DL27" s="541" t="s">
        <v>249</v>
      </c>
      <c r="DM27" s="541" t="s">
        <v>249</v>
      </c>
      <c r="DN27" s="541">
        <v>53</v>
      </c>
      <c r="DO27" s="541">
        <v>34</v>
      </c>
      <c r="DP27" s="541">
        <v>21</v>
      </c>
      <c r="DQ27" s="541" t="s">
        <v>249</v>
      </c>
      <c r="DR27" s="541" t="s">
        <v>249</v>
      </c>
      <c r="DS27" s="552">
        <f>SUM(CY27,DD27,DI27,DN27)</f>
        <v>304</v>
      </c>
      <c r="DT27" s="541">
        <f t="shared" ref="DT27:DT28" si="220">SUM(CZ27,DE27,DJ27,DO27)</f>
        <v>301</v>
      </c>
      <c r="DU27" s="541">
        <f t="shared" ref="DU27:DU28" si="221">SUM(DA27,DF27,DK27,DP27)</f>
        <v>77</v>
      </c>
      <c r="DV27" s="541" t="s">
        <v>249</v>
      </c>
      <c r="DW27" s="541" t="s">
        <v>249</v>
      </c>
      <c r="DX27" s="541">
        <v>84</v>
      </c>
      <c r="DY27" s="541">
        <v>91</v>
      </c>
      <c r="DZ27" s="541">
        <v>24</v>
      </c>
      <c r="EA27" s="541" t="s">
        <v>249</v>
      </c>
      <c r="EB27" s="541" t="s">
        <v>249</v>
      </c>
      <c r="EC27" s="541">
        <v>75</v>
      </c>
      <c r="ED27" s="541">
        <v>87</v>
      </c>
      <c r="EE27" s="541">
        <v>11</v>
      </c>
      <c r="EF27" s="541" t="s">
        <v>249</v>
      </c>
      <c r="EG27" s="541" t="s">
        <v>249</v>
      </c>
      <c r="EH27" s="541">
        <v>69</v>
      </c>
      <c r="EI27" s="541">
        <v>85</v>
      </c>
      <c r="EJ27" s="541">
        <v>21</v>
      </c>
      <c r="EK27" s="541" t="s">
        <v>249</v>
      </c>
      <c r="EL27" s="541" t="s">
        <v>249</v>
      </c>
      <c r="EM27" s="541">
        <v>74</v>
      </c>
      <c r="EN27" s="541">
        <v>80</v>
      </c>
      <c r="EO27" s="541">
        <v>16</v>
      </c>
      <c r="EP27" s="541" t="s">
        <v>249</v>
      </c>
      <c r="EQ27" s="541" t="s">
        <v>249</v>
      </c>
      <c r="ER27" s="552">
        <f>SUM(DX27,EC27,EH27,EM27)</f>
        <v>302</v>
      </c>
      <c r="ES27" s="541">
        <f t="shared" ref="ES27:ES28" si="222">SUM(DY27,ED27,EI27,EN27)</f>
        <v>343</v>
      </c>
      <c r="ET27" s="541">
        <f t="shared" ref="ET27:ET28" si="223">SUM(DZ27,EE27,EJ27,EO27)</f>
        <v>72</v>
      </c>
      <c r="EU27" s="541" t="s">
        <v>249</v>
      </c>
      <c r="EV27" s="541" t="s">
        <v>249</v>
      </c>
      <c r="EW27" s="541">
        <v>74</v>
      </c>
      <c r="EX27" s="541">
        <v>70</v>
      </c>
      <c r="EY27" s="541">
        <v>18</v>
      </c>
      <c r="EZ27" s="541" t="s">
        <v>249</v>
      </c>
      <c r="FA27" s="541" t="s">
        <v>249</v>
      </c>
      <c r="FB27" s="541"/>
      <c r="FC27" s="541"/>
      <c r="FD27" s="541"/>
      <c r="FE27" s="541"/>
      <c r="FF27" s="541"/>
      <c r="FG27" s="541"/>
      <c r="FH27" s="541"/>
      <c r="FI27" s="541"/>
      <c r="FJ27" s="541"/>
      <c r="FK27" s="541"/>
      <c r="FL27" s="541"/>
      <c r="FM27" s="541"/>
      <c r="FN27" s="541"/>
      <c r="FO27" s="541"/>
      <c r="FP27" s="541"/>
      <c r="FQ27" s="552">
        <f>SUM(EW27,FB27,FG27,FL27)</f>
        <v>74</v>
      </c>
      <c r="FR27" s="541">
        <f>SUM(EX27,FC27,FH27,FM27)</f>
        <v>70</v>
      </c>
      <c r="FS27" s="541">
        <f t="shared" ref="FS27:FS28" si="224">SUM(EY27,FD27,FI27,FN27)</f>
        <v>18</v>
      </c>
      <c r="FT27" s="541" t="s">
        <v>249</v>
      </c>
      <c r="FU27" s="541" t="s">
        <v>249</v>
      </c>
    </row>
    <row r="28" spans="2:179" outlineLevel="1">
      <c r="B28" s="546" t="str">
        <f>names!$A768</f>
        <v xml:space="preserve">  - propylen</v>
      </c>
      <c r="C28" s="541">
        <v>106</v>
      </c>
      <c r="D28" s="541">
        <v>102</v>
      </c>
      <c r="E28" s="541">
        <v>4</v>
      </c>
      <c r="F28" s="541" t="s">
        <v>249</v>
      </c>
      <c r="G28" s="541" t="s">
        <v>249</v>
      </c>
      <c r="H28" s="541">
        <v>141</v>
      </c>
      <c r="I28" s="541">
        <v>119</v>
      </c>
      <c r="J28" s="541">
        <v>8</v>
      </c>
      <c r="K28" s="541">
        <v>13</v>
      </c>
      <c r="L28" s="541" t="s">
        <v>249</v>
      </c>
      <c r="M28" s="541">
        <v>133</v>
      </c>
      <c r="N28" s="541">
        <v>110</v>
      </c>
      <c r="O28" s="541">
        <v>6</v>
      </c>
      <c r="P28" s="541">
        <v>19</v>
      </c>
      <c r="Q28" s="541" t="s">
        <v>249</v>
      </c>
      <c r="R28" s="541">
        <v>134</v>
      </c>
      <c r="S28" s="541">
        <v>111</v>
      </c>
      <c r="T28" s="541">
        <v>4</v>
      </c>
      <c r="U28" s="541">
        <v>17</v>
      </c>
      <c r="V28" s="541" t="s">
        <v>249</v>
      </c>
      <c r="W28" s="552">
        <f>SUM(C28,H28,M28,R28)</f>
        <v>514</v>
      </c>
      <c r="X28" s="541">
        <f t="shared" si="215"/>
        <v>442</v>
      </c>
      <c r="Y28" s="541">
        <f t="shared" si="215"/>
        <v>22</v>
      </c>
      <c r="Z28" s="541">
        <f t="shared" si="215"/>
        <v>49</v>
      </c>
      <c r="AA28" s="541" t="s">
        <v>249</v>
      </c>
      <c r="AB28" s="541">
        <v>130</v>
      </c>
      <c r="AC28" s="541">
        <v>110</v>
      </c>
      <c r="AD28" s="541">
        <v>7</v>
      </c>
      <c r="AE28" s="541">
        <v>17</v>
      </c>
      <c r="AF28" s="544" t="s">
        <v>249</v>
      </c>
      <c r="AG28" s="541">
        <v>130</v>
      </c>
      <c r="AH28" s="541">
        <v>101</v>
      </c>
      <c r="AI28" s="541">
        <v>11</v>
      </c>
      <c r="AJ28" s="541">
        <v>15</v>
      </c>
      <c r="AK28" s="541" t="s">
        <v>249</v>
      </c>
      <c r="AL28" s="541">
        <v>158</v>
      </c>
      <c r="AM28" s="541">
        <v>116</v>
      </c>
      <c r="AN28" s="541">
        <v>21</v>
      </c>
      <c r="AO28" s="541">
        <v>21</v>
      </c>
      <c r="AP28" s="541" t="s">
        <v>249</v>
      </c>
      <c r="AQ28" s="541">
        <v>131</v>
      </c>
      <c r="AR28" s="541">
        <v>101</v>
      </c>
      <c r="AS28" s="541">
        <v>10</v>
      </c>
      <c r="AT28" s="541">
        <v>20</v>
      </c>
      <c r="AU28" s="541" t="s">
        <v>249</v>
      </c>
      <c r="AV28" s="552">
        <f>SUM(AB28,AG28,AL28,AQ28)</f>
        <v>549</v>
      </c>
      <c r="AW28" s="541">
        <f t="shared" si="216"/>
        <v>428</v>
      </c>
      <c r="AX28" s="541">
        <f t="shared" si="216"/>
        <v>49</v>
      </c>
      <c r="AY28" s="541">
        <f t="shared" si="216"/>
        <v>73</v>
      </c>
      <c r="AZ28" s="541" t="s">
        <v>249</v>
      </c>
      <c r="BA28" s="541">
        <v>129</v>
      </c>
      <c r="BB28" s="541">
        <v>88</v>
      </c>
      <c r="BC28" s="541">
        <v>20</v>
      </c>
      <c r="BD28" s="541">
        <v>21</v>
      </c>
      <c r="BE28" s="541" t="s">
        <v>249</v>
      </c>
      <c r="BF28" s="541">
        <v>57</v>
      </c>
      <c r="BG28" s="541">
        <v>25</v>
      </c>
      <c r="BH28" s="541">
        <v>18</v>
      </c>
      <c r="BI28" s="541">
        <v>14</v>
      </c>
      <c r="BJ28" s="541" t="s">
        <v>249</v>
      </c>
      <c r="BK28" s="541">
        <v>151</v>
      </c>
      <c r="BL28" s="541">
        <v>116</v>
      </c>
      <c r="BM28" s="541">
        <v>16</v>
      </c>
      <c r="BN28" s="541">
        <v>18</v>
      </c>
      <c r="BO28" s="541" t="s">
        <v>249</v>
      </c>
      <c r="BP28" s="541">
        <v>162</v>
      </c>
      <c r="BQ28" s="541">
        <v>121</v>
      </c>
      <c r="BR28" s="541">
        <v>20</v>
      </c>
      <c r="BS28" s="541">
        <v>22</v>
      </c>
      <c r="BT28" s="541" t="s">
        <v>249</v>
      </c>
      <c r="BU28" s="552">
        <f>SUM(BA28,BF28,BK28,BP28)</f>
        <v>499</v>
      </c>
      <c r="BV28" s="541">
        <f t="shared" si="217"/>
        <v>350</v>
      </c>
      <c r="BW28" s="541">
        <f t="shared" si="217"/>
        <v>74</v>
      </c>
      <c r="BX28" s="541">
        <f t="shared" si="217"/>
        <v>75</v>
      </c>
      <c r="BY28" s="541" t="s">
        <v>249</v>
      </c>
      <c r="BZ28" s="541">
        <v>140</v>
      </c>
      <c r="CA28" s="541">
        <v>115</v>
      </c>
      <c r="CB28" s="541">
        <v>4</v>
      </c>
      <c r="CC28" s="541">
        <v>21</v>
      </c>
      <c r="CD28" s="541" t="s">
        <v>249</v>
      </c>
      <c r="CE28" s="541">
        <v>129</v>
      </c>
      <c r="CF28" s="541">
        <v>120</v>
      </c>
      <c r="CG28" s="541">
        <v>1</v>
      </c>
      <c r="CH28" s="541">
        <v>8</v>
      </c>
      <c r="CI28" s="541" t="s">
        <v>249</v>
      </c>
      <c r="CJ28" s="541">
        <v>108</v>
      </c>
      <c r="CK28" s="541">
        <v>89</v>
      </c>
      <c r="CL28" s="541">
        <v>2</v>
      </c>
      <c r="CM28" s="541">
        <v>17</v>
      </c>
      <c r="CN28" s="541" t="s">
        <v>249</v>
      </c>
      <c r="CO28" s="541">
        <v>95</v>
      </c>
      <c r="CP28" s="541">
        <v>93</v>
      </c>
      <c r="CQ28" s="541">
        <v>7</v>
      </c>
      <c r="CR28" s="541">
        <v>9</v>
      </c>
      <c r="CS28" s="541" t="s">
        <v>249</v>
      </c>
      <c r="CT28" s="552">
        <f>SUM(BZ28,CE28,CJ28,CO28)</f>
        <v>472</v>
      </c>
      <c r="CU28" s="541">
        <f t="shared" si="218"/>
        <v>417</v>
      </c>
      <c r="CV28" s="541">
        <f t="shared" si="219"/>
        <v>14</v>
      </c>
      <c r="CW28" s="541">
        <f t="shared" ref="CW28" si="225">SUM(CC28,CH28,CM28,CR28)</f>
        <v>55</v>
      </c>
      <c r="CX28" s="541" t="s">
        <v>249</v>
      </c>
      <c r="CY28" s="541">
        <v>105</v>
      </c>
      <c r="CZ28" s="541">
        <v>92</v>
      </c>
      <c r="DA28" s="541">
        <v>5</v>
      </c>
      <c r="DB28" s="541">
        <v>9</v>
      </c>
      <c r="DC28" s="541" t="s">
        <v>249</v>
      </c>
      <c r="DD28" s="541">
        <v>92</v>
      </c>
      <c r="DE28" s="541">
        <v>80</v>
      </c>
      <c r="DF28" s="541">
        <v>4</v>
      </c>
      <c r="DG28" s="541">
        <v>11</v>
      </c>
      <c r="DH28" s="541" t="s">
        <v>249</v>
      </c>
      <c r="DI28" s="541">
        <v>97</v>
      </c>
      <c r="DJ28" s="541">
        <v>89</v>
      </c>
      <c r="DK28" s="541">
        <v>11</v>
      </c>
      <c r="DL28" s="541">
        <v>5</v>
      </c>
      <c r="DM28" s="541" t="s">
        <v>249</v>
      </c>
      <c r="DN28" s="541">
        <v>68</v>
      </c>
      <c r="DO28" s="541">
        <v>53</v>
      </c>
      <c r="DP28" s="541">
        <v>6</v>
      </c>
      <c r="DQ28" s="541">
        <v>13</v>
      </c>
      <c r="DR28" s="541" t="s">
        <v>249</v>
      </c>
      <c r="DS28" s="552">
        <f>SUM(CY28,DD28,DI28,DN28)</f>
        <v>362</v>
      </c>
      <c r="DT28" s="541">
        <f t="shared" si="220"/>
        <v>314</v>
      </c>
      <c r="DU28" s="541">
        <f t="shared" si="221"/>
        <v>26</v>
      </c>
      <c r="DV28" s="541">
        <f t="shared" ref="DV28" si="226">SUM(DB28,DG28,DL28,DQ28)</f>
        <v>38</v>
      </c>
      <c r="DW28" s="541" t="s">
        <v>249</v>
      </c>
      <c r="DX28" s="541">
        <v>112</v>
      </c>
      <c r="DY28" s="541">
        <v>94</v>
      </c>
      <c r="DZ28" s="541">
        <v>3</v>
      </c>
      <c r="EA28" s="541">
        <v>17</v>
      </c>
      <c r="EB28" s="541" t="s">
        <v>249</v>
      </c>
      <c r="EC28" s="541">
        <v>140</v>
      </c>
      <c r="ED28" s="541">
        <v>112</v>
      </c>
      <c r="EE28" s="541">
        <v>7</v>
      </c>
      <c r="EF28" s="541">
        <v>21</v>
      </c>
      <c r="EG28" s="541" t="s">
        <v>249</v>
      </c>
      <c r="EH28" s="541">
        <v>163</v>
      </c>
      <c r="EI28" s="541">
        <v>104</v>
      </c>
      <c r="EJ28" s="541">
        <v>38</v>
      </c>
      <c r="EK28" s="541">
        <v>22</v>
      </c>
      <c r="EL28" s="541" t="s">
        <v>249</v>
      </c>
      <c r="EM28" s="541">
        <v>98</v>
      </c>
      <c r="EN28" s="541">
        <v>79</v>
      </c>
      <c r="EO28" s="541">
        <v>16</v>
      </c>
      <c r="EP28" s="541">
        <v>6</v>
      </c>
      <c r="EQ28" s="541" t="s">
        <v>249</v>
      </c>
      <c r="ER28" s="552">
        <f>SUM(DX28,EC28,EH28,EM28)</f>
        <v>513</v>
      </c>
      <c r="ES28" s="541">
        <f t="shared" si="222"/>
        <v>389</v>
      </c>
      <c r="ET28" s="541">
        <f t="shared" si="223"/>
        <v>64</v>
      </c>
      <c r="EU28" s="541">
        <f t="shared" ref="EU28" si="227">SUM(EA28,EF28,EK28,EP28)</f>
        <v>66</v>
      </c>
      <c r="EV28" s="541" t="s">
        <v>249</v>
      </c>
      <c r="EW28" s="541">
        <v>138</v>
      </c>
      <c r="EX28" s="541">
        <v>103</v>
      </c>
      <c r="EY28" s="541">
        <v>17</v>
      </c>
      <c r="EZ28" s="541">
        <v>18</v>
      </c>
      <c r="FA28" s="541" t="s">
        <v>249</v>
      </c>
      <c r="FB28" s="541"/>
      <c r="FC28" s="541"/>
      <c r="FD28" s="541"/>
      <c r="FE28" s="541"/>
      <c r="FF28" s="541"/>
      <c r="FG28" s="541"/>
      <c r="FH28" s="541"/>
      <c r="FI28" s="541"/>
      <c r="FJ28" s="541"/>
      <c r="FK28" s="541"/>
      <c r="FL28" s="541"/>
      <c r="FM28" s="541"/>
      <c r="FN28" s="541"/>
      <c r="FO28" s="541"/>
      <c r="FP28" s="541"/>
      <c r="FQ28" s="552">
        <f>SUM(EW28,FB28,FG28,FL28)</f>
        <v>138</v>
      </c>
      <c r="FR28" s="541">
        <f t="shared" ref="FR28" si="228">SUM(EX28,FC28,FH28,FM28)</f>
        <v>103</v>
      </c>
      <c r="FS28" s="541">
        <f t="shared" si="224"/>
        <v>17</v>
      </c>
      <c r="FT28" s="541">
        <f t="shared" ref="FT28" si="229">SUM(EZ28,FE28,FJ28,FO28)</f>
        <v>18</v>
      </c>
      <c r="FU28" s="541" t="s">
        <v>249</v>
      </c>
    </row>
    <row r="29" spans="2:179">
      <c r="B29" s="519" t="str">
        <f>names!$A769</f>
        <v>Polimery, w tym:</v>
      </c>
      <c r="C29" s="553">
        <f>SUM(C30:C31)</f>
        <v>146</v>
      </c>
      <c r="D29" s="553" t="s">
        <v>249</v>
      </c>
      <c r="E29" s="553">
        <f t="shared" ref="E29:BM29" si="230">SUM(E30:E31)</f>
        <v>146</v>
      </c>
      <c r="F29" s="553" t="s">
        <v>249</v>
      </c>
      <c r="G29" s="553" t="s">
        <v>249</v>
      </c>
      <c r="H29" s="553">
        <f t="shared" si="230"/>
        <v>139</v>
      </c>
      <c r="I29" s="553" t="s">
        <v>249</v>
      </c>
      <c r="J29" s="553">
        <f t="shared" si="230"/>
        <v>139</v>
      </c>
      <c r="K29" s="553" t="s">
        <v>249</v>
      </c>
      <c r="L29" s="553" t="s">
        <v>249</v>
      </c>
      <c r="M29" s="553">
        <f t="shared" si="230"/>
        <v>135</v>
      </c>
      <c r="N29" s="553" t="s">
        <v>249</v>
      </c>
      <c r="O29" s="553">
        <f t="shared" si="230"/>
        <v>135</v>
      </c>
      <c r="P29" s="553" t="s">
        <v>249</v>
      </c>
      <c r="Q29" s="553" t="s">
        <v>249</v>
      </c>
      <c r="R29" s="553">
        <f t="shared" si="230"/>
        <v>129</v>
      </c>
      <c r="S29" s="553" t="s">
        <v>249</v>
      </c>
      <c r="T29" s="553">
        <f t="shared" si="230"/>
        <v>129</v>
      </c>
      <c r="U29" s="553" t="s">
        <v>249</v>
      </c>
      <c r="V29" s="553" t="s">
        <v>249</v>
      </c>
      <c r="W29" s="554">
        <f t="shared" si="230"/>
        <v>549</v>
      </c>
      <c r="X29" s="553" t="s">
        <v>249</v>
      </c>
      <c r="Y29" s="553">
        <f t="shared" si="230"/>
        <v>549</v>
      </c>
      <c r="Z29" s="553" t="s">
        <v>249</v>
      </c>
      <c r="AA29" s="553" t="s">
        <v>249</v>
      </c>
      <c r="AB29" s="553">
        <f t="shared" si="230"/>
        <v>115</v>
      </c>
      <c r="AC29" s="553" t="s">
        <v>249</v>
      </c>
      <c r="AD29" s="553">
        <f t="shared" si="230"/>
        <v>115</v>
      </c>
      <c r="AE29" s="553" t="s">
        <v>249</v>
      </c>
      <c r="AF29" s="539" t="s">
        <v>249</v>
      </c>
      <c r="AG29" s="553">
        <f t="shared" si="230"/>
        <v>49</v>
      </c>
      <c r="AH29" s="553" t="s">
        <v>249</v>
      </c>
      <c r="AI29" s="553">
        <f t="shared" si="230"/>
        <v>49</v>
      </c>
      <c r="AJ29" s="553" t="s">
        <v>249</v>
      </c>
      <c r="AK29" s="553" t="s">
        <v>249</v>
      </c>
      <c r="AL29" s="553">
        <f t="shared" si="230"/>
        <v>104</v>
      </c>
      <c r="AM29" s="553" t="s">
        <v>249</v>
      </c>
      <c r="AN29" s="553">
        <f t="shared" si="230"/>
        <v>104</v>
      </c>
      <c r="AO29" s="553" t="s">
        <v>249</v>
      </c>
      <c r="AP29" s="553" t="s">
        <v>249</v>
      </c>
      <c r="AQ29" s="553">
        <f t="shared" si="230"/>
        <v>207</v>
      </c>
      <c r="AR29" s="553" t="s">
        <v>249</v>
      </c>
      <c r="AS29" s="553">
        <f t="shared" si="230"/>
        <v>207</v>
      </c>
      <c r="AT29" s="553" t="s">
        <v>249</v>
      </c>
      <c r="AU29" s="553" t="s">
        <v>249</v>
      </c>
      <c r="AV29" s="554">
        <f t="shared" ref="AV29" si="231">SUM(AV30:AV31)</f>
        <v>475</v>
      </c>
      <c r="AW29" s="553" t="s">
        <v>249</v>
      </c>
      <c r="AX29" s="553">
        <f t="shared" ref="AX29" si="232">SUM(AX30:AX31)</f>
        <v>475</v>
      </c>
      <c r="AY29" s="553" t="s">
        <v>249</v>
      </c>
      <c r="AZ29" s="553" t="s">
        <v>249</v>
      </c>
      <c r="BA29" s="553">
        <f t="shared" si="230"/>
        <v>144</v>
      </c>
      <c r="BB29" s="553" t="s">
        <v>249</v>
      </c>
      <c r="BC29" s="553">
        <f t="shared" si="230"/>
        <v>144</v>
      </c>
      <c r="BD29" s="553" t="s">
        <v>249</v>
      </c>
      <c r="BE29" s="553" t="s">
        <v>249</v>
      </c>
      <c r="BF29" s="553">
        <f t="shared" si="230"/>
        <v>157</v>
      </c>
      <c r="BG29" s="553" t="s">
        <v>249</v>
      </c>
      <c r="BH29" s="553">
        <f t="shared" si="230"/>
        <v>157</v>
      </c>
      <c r="BI29" s="553" t="s">
        <v>249</v>
      </c>
      <c r="BJ29" s="553" t="s">
        <v>249</v>
      </c>
      <c r="BK29" s="553">
        <f t="shared" si="230"/>
        <v>157</v>
      </c>
      <c r="BL29" s="553" t="s">
        <v>249</v>
      </c>
      <c r="BM29" s="553">
        <f t="shared" si="230"/>
        <v>157</v>
      </c>
      <c r="BN29" s="553" t="s">
        <v>249</v>
      </c>
      <c r="BO29" s="553" t="s">
        <v>249</v>
      </c>
      <c r="BP29" s="553">
        <f t="shared" ref="BP29:BU29" si="233">SUM(BP30:BP31)</f>
        <v>182</v>
      </c>
      <c r="BQ29" s="553" t="s">
        <v>249</v>
      </c>
      <c r="BR29" s="553">
        <f t="shared" si="233"/>
        <v>182</v>
      </c>
      <c r="BS29" s="553" t="s">
        <v>249</v>
      </c>
      <c r="BT29" s="553" t="s">
        <v>249</v>
      </c>
      <c r="BU29" s="554">
        <f t="shared" si="233"/>
        <v>640</v>
      </c>
      <c r="BV29" s="553" t="s">
        <v>249</v>
      </c>
      <c r="BW29" s="553">
        <f t="shared" ref="BW29" si="234">SUM(BW30:BW31)</f>
        <v>640</v>
      </c>
      <c r="BX29" s="553" t="s">
        <v>249</v>
      </c>
      <c r="BY29" s="553" t="s">
        <v>249</v>
      </c>
      <c r="BZ29" s="553">
        <f t="shared" ref="BZ29:CB29" si="235">SUM(BZ30:BZ31)</f>
        <v>174</v>
      </c>
      <c r="CA29" s="553" t="s">
        <v>249</v>
      </c>
      <c r="CB29" s="553">
        <f t="shared" si="235"/>
        <v>174</v>
      </c>
      <c r="CC29" s="553" t="s">
        <v>249</v>
      </c>
      <c r="CD29" s="553" t="s">
        <v>249</v>
      </c>
      <c r="CE29" s="553">
        <f t="shared" ref="CE29" si="236">SUM(CE30:CE31)</f>
        <v>175</v>
      </c>
      <c r="CF29" s="553" t="s">
        <v>249</v>
      </c>
      <c r="CG29" s="553">
        <f t="shared" ref="CG29" si="237">SUM(CG30:CG31)</f>
        <v>175</v>
      </c>
      <c r="CH29" s="553" t="s">
        <v>249</v>
      </c>
      <c r="CI29" s="553" t="s">
        <v>249</v>
      </c>
      <c r="CJ29" s="553">
        <f t="shared" ref="CJ29" si="238">SUM(CJ30:CJ31)</f>
        <v>146</v>
      </c>
      <c r="CK29" s="553" t="s">
        <v>249</v>
      </c>
      <c r="CL29" s="553">
        <f t="shared" ref="CL29" si="239">SUM(CL30:CL31)</f>
        <v>146</v>
      </c>
      <c r="CM29" s="553" t="s">
        <v>249</v>
      </c>
      <c r="CN29" s="553" t="s">
        <v>249</v>
      </c>
      <c r="CO29" s="553">
        <f t="shared" ref="CO29" si="240">SUM(CO30:CO31)</f>
        <v>153</v>
      </c>
      <c r="CP29" s="553" t="s">
        <v>249</v>
      </c>
      <c r="CQ29" s="553">
        <f t="shared" ref="CQ29" si="241">SUM(CQ30:CQ31)</f>
        <v>153</v>
      </c>
      <c r="CR29" s="553" t="s">
        <v>249</v>
      </c>
      <c r="CS29" s="553" t="s">
        <v>249</v>
      </c>
      <c r="CT29" s="554">
        <f t="shared" ref="CT29" si="242">SUM(CT30:CT31)</f>
        <v>648</v>
      </c>
      <c r="CU29" s="553" t="s">
        <v>249</v>
      </c>
      <c r="CV29" s="553">
        <f t="shared" ref="CV29" si="243">SUM(CV30:CV31)</f>
        <v>648</v>
      </c>
      <c r="CW29" s="553" t="s">
        <v>249</v>
      </c>
      <c r="CX29" s="553" t="s">
        <v>249</v>
      </c>
      <c r="CY29" s="553">
        <f>SUM(CY30:CY31)</f>
        <v>185</v>
      </c>
      <c r="CZ29" s="553">
        <f>SUM(CZ30:CZ31)</f>
        <v>16</v>
      </c>
      <c r="DA29" s="553">
        <f>SUM(DA30:DA31)</f>
        <v>169</v>
      </c>
      <c r="DB29" s="553" t="s">
        <v>249</v>
      </c>
      <c r="DC29" s="553" t="s">
        <v>249</v>
      </c>
      <c r="DD29" s="553">
        <f>SUM(DD30:DD31)</f>
        <v>114</v>
      </c>
      <c r="DE29" s="553">
        <f>SUM(DE30:DE31)</f>
        <v>13</v>
      </c>
      <c r="DF29" s="553">
        <f>SUM(DF30:DF31)</f>
        <v>101</v>
      </c>
      <c r="DG29" s="553" t="s">
        <v>249</v>
      </c>
      <c r="DH29" s="553" t="s">
        <v>249</v>
      </c>
      <c r="DI29" s="553">
        <v>167</v>
      </c>
      <c r="DJ29" s="553">
        <f>SUM(DJ30:DJ31)</f>
        <v>11</v>
      </c>
      <c r="DK29" s="553">
        <f>SUM(DK30:DK31)</f>
        <v>156</v>
      </c>
      <c r="DL29" s="553" t="s">
        <v>249</v>
      </c>
      <c r="DM29" s="553" t="s">
        <v>249</v>
      </c>
      <c r="DN29" s="553">
        <f>SUM(DN30:DN31)</f>
        <v>148</v>
      </c>
      <c r="DO29" s="553">
        <f>SUM(DO30:DO31)</f>
        <v>13</v>
      </c>
      <c r="DP29" s="553">
        <f>SUM(DP30:DP31)</f>
        <v>135</v>
      </c>
      <c r="DQ29" s="553" t="s">
        <v>249</v>
      </c>
      <c r="DR29" s="553" t="s">
        <v>249</v>
      </c>
      <c r="DS29" s="554">
        <f t="shared" ref="DS29" si="244">SUM(DS30:DS31)</f>
        <v>614</v>
      </c>
      <c r="DT29" s="553" t="s">
        <v>249</v>
      </c>
      <c r="DU29" s="553">
        <f t="shared" ref="DU29" si="245">SUM(DU30:DU31)</f>
        <v>561</v>
      </c>
      <c r="DV29" s="553" t="s">
        <v>249</v>
      </c>
      <c r="DW29" s="553" t="s">
        <v>249</v>
      </c>
      <c r="DX29" s="553">
        <f>SUM(DX30:DX31)</f>
        <v>197</v>
      </c>
      <c r="DY29" s="553">
        <f>SUM(DY30:DY31)</f>
        <v>20</v>
      </c>
      <c r="DZ29" s="553">
        <f>SUM(DZ30:DZ31)</f>
        <v>177</v>
      </c>
      <c r="EA29" s="553" t="s">
        <v>249</v>
      </c>
      <c r="EB29" s="553" t="s">
        <v>249</v>
      </c>
      <c r="EC29" s="553">
        <f>SUM(EC30:EC31)</f>
        <v>155</v>
      </c>
      <c r="ED29" s="553">
        <f>SUM(ED30:ED31)</f>
        <v>13</v>
      </c>
      <c r="EE29" s="553">
        <f>SUM(EE30:EE31)</f>
        <v>142</v>
      </c>
      <c r="EF29" s="553" t="s">
        <v>249</v>
      </c>
      <c r="EG29" s="553" t="s">
        <v>249</v>
      </c>
      <c r="EH29" s="553">
        <f>SUM(EH30:EH31)</f>
        <v>159</v>
      </c>
      <c r="EI29" s="553">
        <f>SUM(EI30:EI31)</f>
        <v>24</v>
      </c>
      <c r="EJ29" s="553">
        <f>SUM(EJ30:EJ31)</f>
        <v>134</v>
      </c>
      <c r="EK29" s="553" t="s">
        <v>249</v>
      </c>
      <c r="EL29" s="553" t="s">
        <v>249</v>
      </c>
      <c r="EM29" s="553">
        <f>SUM(EM30:EM31)</f>
        <v>206</v>
      </c>
      <c r="EN29" s="553">
        <f>SUM(EN30:EN31)</f>
        <v>25</v>
      </c>
      <c r="EO29" s="553">
        <f>SUM(EO30:EO31)</f>
        <v>181</v>
      </c>
      <c r="EP29" s="553" t="s">
        <v>249</v>
      </c>
      <c r="EQ29" s="553" t="s">
        <v>249</v>
      </c>
      <c r="ER29" s="554">
        <f t="shared" ref="ER29" si="246">SUM(ER30:ER31)</f>
        <v>717</v>
      </c>
      <c r="ES29" s="553" t="s">
        <v>249</v>
      </c>
      <c r="ET29" s="553">
        <f t="shared" ref="ET29" si="247">SUM(ET30:ET31)</f>
        <v>634</v>
      </c>
      <c r="EU29" s="553" t="s">
        <v>249</v>
      </c>
      <c r="EV29" s="553" t="s">
        <v>249</v>
      </c>
      <c r="EW29" s="553">
        <f>SUM(EW30:EW31)</f>
        <v>172</v>
      </c>
      <c r="EX29" s="553">
        <f>SUM(EX30:EX31)</f>
        <v>19</v>
      </c>
      <c r="EY29" s="553">
        <f>SUM(EY30:EY31)</f>
        <v>153</v>
      </c>
      <c r="EZ29" s="553" t="s">
        <v>249</v>
      </c>
      <c r="FA29" s="553" t="s">
        <v>249</v>
      </c>
      <c r="FB29" s="553">
        <f>SUM(FB30:FB31)</f>
        <v>0</v>
      </c>
      <c r="FC29" s="553">
        <f>SUM(FC30:FC31)</f>
        <v>0</v>
      </c>
      <c r="FD29" s="553">
        <f>SUM(FD30:FD31)</f>
        <v>0</v>
      </c>
      <c r="FE29" s="553" t="s">
        <v>249</v>
      </c>
      <c r="FF29" s="553" t="s">
        <v>249</v>
      </c>
      <c r="FG29" s="553">
        <f>SUM(FG30:FG31)</f>
        <v>0</v>
      </c>
      <c r="FH29" s="553">
        <f>SUM(FH30:FH31)</f>
        <v>0</v>
      </c>
      <c r="FI29" s="553">
        <f>SUM(FI30:FI31)</f>
        <v>0</v>
      </c>
      <c r="FJ29" s="553" t="s">
        <v>249</v>
      </c>
      <c r="FK29" s="553" t="s">
        <v>249</v>
      </c>
      <c r="FL29" s="553">
        <f>SUM(FL30:FL31)</f>
        <v>0</v>
      </c>
      <c r="FM29" s="553">
        <f>SUM(FM30:FM31)</f>
        <v>0</v>
      </c>
      <c r="FN29" s="553">
        <f>SUM(FN30:FN31)</f>
        <v>0</v>
      </c>
      <c r="FO29" s="553" t="s">
        <v>249</v>
      </c>
      <c r="FP29" s="553" t="s">
        <v>249</v>
      </c>
      <c r="FQ29" s="554">
        <f t="shared" ref="FQ29" si="248">SUM(FQ30:FQ31)</f>
        <v>172</v>
      </c>
      <c r="FR29" s="553" t="s">
        <v>249</v>
      </c>
      <c r="FS29" s="553">
        <f t="shared" ref="FS29" si="249">SUM(FS30:FS31)</f>
        <v>153</v>
      </c>
      <c r="FT29" s="553" t="s">
        <v>249</v>
      </c>
      <c r="FU29" s="553" t="s">
        <v>249</v>
      </c>
    </row>
    <row r="30" spans="2:179" outlineLevel="1">
      <c r="B30" s="546" t="str">
        <f>names!$A770</f>
        <v xml:space="preserve">  - polietylen</v>
      </c>
      <c r="C30" s="541">
        <v>73</v>
      </c>
      <c r="D30" s="541" t="s">
        <v>249</v>
      </c>
      <c r="E30" s="541">
        <v>73</v>
      </c>
      <c r="F30" s="541" t="s">
        <v>249</v>
      </c>
      <c r="G30" s="541" t="s">
        <v>249</v>
      </c>
      <c r="H30" s="541">
        <v>71</v>
      </c>
      <c r="I30" s="541" t="s">
        <v>249</v>
      </c>
      <c r="J30" s="541">
        <v>71</v>
      </c>
      <c r="K30" s="541" t="s">
        <v>249</v>
      </c>
      <c r="L30" s="541" t="s">
        <v>249</v>
      </c>
      <c r="M30" s="541">
        <v>65</v>
      </c>
      <c r="N30" s="541" t="s">
        <v>249</v>
      </c>
      <c r="O30" s="541">
        <v>65</v>
      </c>
      <c r="P30" s="541" t="s">
        <v>249</v>
      </c>
      <c r="Q30" s="541" t="s">
        <v>249</v>
      </c>
      <c r="R30" s="541">
        <v>66</v>
      </c>
      <c r="S30" s="541" t="s">
        <v>249</v>
      </c>
      <c r="T30" s="541">
        <v>66</v>
      </c>
      <c r="U30" s="541" t="s">
        <v>249</v>
      </c>
      <c r="V30" s="541" t="s">
        <v>249</v>
      </c>
      <c r="W30" s="552">
        <f>SUM(C30,H30,M30,R30)</f>
        <v>275</v>
      </c>
      <c r="X30" s="541" t="s">
        <v>249</v>
      </c>
      <c r="Y30" s="541">
        <f t="shared" ref="Y30:Y31" si="250">SUM(E30,J30,O30,T30)</f>
        <v>275</v>
      </c>
      <c r="Z30" s="541" t="s">
        <v>249</v>
      </c>
      <c r="AA30" s="541" t="s">
        <v>249</v>
      </c>
      <c r="AB30" s="541">
        <v>51</v>
      </c>
      <c r="AC30" s="541" t="s">
        <v>249</v>
      </c>
      <c r="AD30" s="541">
        <v>51</v>
      </c>
      <c r="AE30" s="541" t="s">
        <v>249</v>
      </c>
      <c r="AF30" s="541" t="s">
        <v>249</v>
      </c>
      <c r="AG30" s="541">
        <v>25</v>
      </c>
      <c r="AH30" s="541" t="s">
        <v>249</v>
      </c>
      <c r="AI30" s="541">
        <v>25</v>
      </c>
      <c r="AJ30" s="541" t="s">
        <v>249</v>
      </c>
      <c r="AK30" s="541" t="s">
        <v>249</v>
      </c>
      <c r="AL30" s="541">
        <v>53</v>
      </c>
      <c r="AM30" s="541" t="s">
        <v>249</v>
      </c>
      <c r="AN30" s="541">
        <v>53</v>
      </c>
      <c r="AO30" s="541" t="s">
        <v>249</v>
      </c>
      <c r="AP30" s="541" t="s">
        <v>249</v>
      </c>
      <c r="AQ30" s="541">
        <v>110</v>
      </c>
      <c r="AR30" s="541" t="s">
        <v>249</v>
      </c>
      <c r="AS30" s="541">
        <v>110</v>
      </c>
      <c r="AT30" s="541" t="s">
        <v>249</v>
      </c>
      <c r="AU30" s="541" t="s">
        <v>249</v>
      </c>
      <c r="AV30" s="552">
        <f>SUM(AB30,AG30,AL30,AQ30)</f>
        <v>239</v>
      </c>
      <c r="AW30" s="541" t="s">
        <v>249</v>
      </c>
      <c r="AX30" s="541">
        <f t="shared" ref="AX30:AX31" si="251">SUM(AD30,AI30,AN30,AS30)</f>
        <v>239</v>
      </c>
      <c r="AY30" s="541" t="s">
        <v>249</v>
      </c>
      <c r="AZ30" s="541" t="s">
        <v>249</v>
      </c>
      <c r="BA30" s="541">
        <v>77</v>
      </c>
      <c r="BB30" s="541" t="s">
        <v>249</v>
      </c>
      <c r="BC30" s="541">
        <v>77</v>
      </c>
      <c r="BD30" s="541" t="s">
        <v>249</v>
      </c>
      <c r="BE30" s="541" t="s">
        <v>249</v>
      </c>
      <c r="BF30" s="541">
        <v>88</v>
      </c>
      <c r="BG30" s="541" t="s">
        <v>249</v>
      </c>
      <c r="BH30" s="541">
        <v>88</v>
      </c>
      <c r="BI30" s="541" t="s">
        <v>249</v>
      </c>
      <c r="BJ30" s="541" t="s">
        <v>249</v>
      </c>
      <c r="BK30" s="541">
        <v>88</v>
      </c>
      <c r="BL30" s="541" t="s">
        <v>249</v>
      </c>
      <c r="BM30" s="541">
        <v>88</v>
      </c>
      <c r="BN30" s="541" t="s">
        <v>249</v>
      </c>
      <c r="BO30" s="541" t="s">
        <v>249</v>
      </c>
      <c r="BP30" s="541">
        <v>106</v>
      </c>
      <c r="BQ30" s="541" t="s">
        <v>249</v>
      </c>
      <c r="BR30" s="541">
        <v>106</v>
      </c>
      <c r="BS30" s="541" t="s">
        <v>249</v>
      </c>
      <c r="BT30" s="541" t="s">
        <v>249</v>
      </c>
      <c r="BU30" s="552">
        <f>SUM(BA30,BF30,BK30,BP30)</f>
        <v>359</v>
      </c>
      <c r="BV30" s="541" t="s">
        <v>249</v>
      </c>
      <c r="BW30" s="541">
        <f t="shared" ref="BW30:BW31" si="252">SUM(BC30,BH30,BM30,BR30)</f>
        <v>359</v>
      </c>
      <c r="BX30" s="541" t="s">
        <v>249</v>
      </c>
      <c r="BY30" s="541" t="s">
        <v>249</v>
      </c>
      <c r="BZ30" s="541">
        <v>101</v>
      </c>
      <c r="CA30" s="541" t="s">
        <v>249</v>
      </c>
      <c r="CB30" s="541">
        <v>101</v>
      </c>
      <c r="CC30" s="541" t="s">
        <v>249</v>
      </c>
      <c r="CD30" s="541" t="s">
        <v>249</v>
      </c>
      <c r="CE30" s="541">
        <v>99</v>
      </c>
      <c r="CF30" s="541" t="s">
        <v>249</v>
      </c>
      <c r="CG30" s="541">
        <v>99</v>
      </c>
      <c r="CH30" s="541" t="s">
        <v>249</v>
      </c>
      <c r="CI30" s="541" t="s">
        <v>249</v>
      </c>
      <c r="CJ30" s="541">
        <v>82</v>
      </c>
      <c r="CK30" s="541" t="s">
        <v>249</v>
      </c>
      <c r="CL30" s="541">
        <v>82</v>
      </c>
      <c r="CM30" s="541" t="s">
        <v>249</v>
      </c>
      <c r="CN30" s="541" t="s">
        <v>249</v>
      </c>
      <c r="CO30" s="541">
        <v>88</v>
      </c>
      <c r="CP30" s="541" t="s">
        <v>249</v>
      </c>
      <c r="CQ30" s="541">
        <v>88</v>
      </c>
      <c r="CR30" s="541" t="s">
        <v>249</v>
      </c>
      <c r="CS30" s="541" t="s">
        <v>249</v>
      </c>
      <c r="CT30" s="552">
        <f>SUM(BZ30,CE30,CJ30,CO30)</f>
        <v>370</v>
      </c>
      <c r="CU30" s="541" t="s">
        <v>249</v>
      </c>
      <c r="CV30" s="541">
        <f t="shared" ref="CV30:CV31" si="253">SUM(CB30,CG30,CL30,CQ30)</f>
        <v>370</v>
      </c>
      <c r="CW30" s="541" t="s">
        <v>249</v>
      </c>
      <c r="CX30" s="541" t="s">
        <v>249</v>
      </c>
      <c r="CY30" s="541">
        <v>117</v>
      </c>
      <c r="CZ30" s="541">
        <v>16</v>
      </c>
      <c r="DA30" s="541">
        <v>101</v>
      </c>
      <c r="DB30" s="541" t="s">
        <v>249</v>
      </c>
      <c r="DC30" s="541" t="s">
        <v>249</v>
      </c>
      <c r="DD30" s="541">
        <v>83</v>
      </c>
      <c r="DE30" s="541">
        <v>13</v>
      </c>
      <c r="DF30" s="541">
        <v>70</v>
      </c>
      <c r="DG30" s="541" t="s">
        <v>249</v>
      </c>
      <c r="DH30" s="541" t="s">
        <v>249</v>
      </c>
      <c r="DI30" s="541">
        <v>104</v>
      </c>
      <c r="DJ30" s="541">
        <v>11</v>
      </c>
      <c r="DK30" s="541">
        <v>93</v>
      </c>
      <c r="DL30" s="541" t="s">
        <v>249</v>
      </c>
      <c r="DM30" s="541" t="s">
        <v>249</v>
      </c>
      <c r="DN30" s="541">
        <v>103</v>
      </c>
      <c r="DO30" s="541">
        <v>13</v>
      </c>
      <c r="DP30" s="541">
        <v>90</v>
      </c>
      <c r="DQ30" s="541" t="s">
        <v>249</v>
      </c>
      <c r="DR30" s="541" t="s">
        <v>249</v>
      </c>
      <c r="DS30" s="552">
        <f>SUM(CY30,DD30,DI30,DN30)</f>
        <v>407</v>
      </c>
      <c r="DT30" s="541" t="s">
        <v>249</v>
      </c>
      <c r="DU30" s="541">
        <f t="shared" ref="DU30:DU31" si="254">SUM(DA30,DF30,DK30,DP30)</f>
        <v>354</v>
      </c>
      <c r="DV30" s="541" t="s">
        <v>249</v>
      </c>
      <c r="DW30" s="541" t="s">
        <v>249</v>
      </c>
      <c r="DX30" s="541">
        <v>118</v>
      </c>
      <c r="DY30" s="541">
        <v>20</v>
      </c>
      <c r="DZ30" s="541">
        <v>98</v>
      </c>
      <c r="EA30" s="541" t="s">
        <v>249</v>
      </c>
      <c r="EB30" s="541" t="s">
        <v>249</v>
      </c>
      <c r="EC30" s="541">
        <v>94</v>
      </c>
      <c r="ED30" s="541">
        <v>13</v>
      </c>
      <c r="EE30" s="541">
        <v>81</v>
      </c>
      <c r="EF30" s="541" t="s">
        <v>249</v>
      </c>
      <c r="EG30" s="541" t="s">
        <v>249</v>
      </c>
      <c r="EH30" s="541">
        <v>96</v>
      </c>
      <c r="EI30" s="541">
        <v>24</v>
      </c>
      <c r="EJ30" s="541">
        <v>71</v>
      </c>
      <c r="EK30" s="541" t="s">
        <v>249</v>
      </c>
      <c r="EL30" s="541" t="s">
        <v>249</v>
      </c>
      <c r="EM30" s="541">
        <v>125</v>
      </c>
      <c r="EN30" s="541">
        <v>25</v>
      </c>
      <c r="EO30" s="541">
        <v>101</v>
      </c>
      <c r="EP30" s="541" t="s">
        <v>249</v>
      </c>
      <c r="EQ30" s="541" t="s">
        <v>249</v>
      </c>
      <c r="ER30" s="552">
        <f>SUM(DX30,EC30,EH30,EM30)</f>
        <v>433</v>
      </c>
      <c r="ES30" s="541" t="s">
        <v>249</v>
      </c>
      <c r="ET30" s="541">
        <f t="shared" ref="ET30:ET31" si="255">SUM(DZ30,EE30,EJ30,EO30)</f>
        <v>351</v>
      </c>
      <c r="EU30" s="541" t="s">
        <v>249</v>
      </c>
      <c r="EV30" s="541" t="s">
        <v>249</v>
      </c>
      <c r="EW30" s="541">
        <v>98</v>
      </c>
      <c r="EX30" s="541">
        <v>19</v>
      </c>
      <c r="EY30" s="541">
        <v>79</v>
      </c>
      <c r="EZ30" s="541" t="s">
        <v>249</v>
      </c>
      <c r="FA30" s="541" t="s">
        <v>249</v>
      </c>
      <c r="FB30" s="541"/>
      <c r="FC30" s="541"/>
      <c r="FD30" s="541"/>
      <c r="FE30" s="541"/>
      <c r="FF30" s="541"/>
      <c r="FG30" s="541"/>
      <c r="FH30" s="541"/>
      <c r="FI30" s="541"/>
      <c r="FJ30" s="541"/>
      <c r="FK30" s="541"/>
      <c r="FL30" s="541"/>
      <c r="FM30" s="541"/>
      <c r="FN30" s="541"/>
      <c r="FO30" s="541"/>
      <c r="FP30" s="541"/>
      <c r="FQ30" s="552">
        <f>SUM(EW30,FB30,FG30,FL30)</f>
        <v>98</v>
      </c>
      <c r="FR30" s="541" t="s">
        <v>249</v>
      </c>
      <c r="FS30" s="541">
        <f>SUM(EY30,FD30,FI30,FN30)</f>
        <v>79</v>
      </c>
      <c r="FT30" s="541" t="s">
        <v>249</v>
      </c>
      <c r="FU30" s="541" t="s">
        <v>249</v>
      </c>
    </row>
    <row r="31" spans="2:179" outlineLevel="1">
      <c r="B31" s="547" t="str">
        <f>names!$A771</f>
        <v xml:space="preserve">  - polipropylen</v>
      </c>
      <c r="C31" s="544">
        <v>73</v>
      </c>
      <c r="D31" s="544" t="s">
        <v>249</v>
      </c>
      <c r="E31" s="544">
        <v>73</v>
      </c>
      <c r="F31" s="544" t="s">
        <v>249</v>
      </c>
      <c r="G31" s="544" t="s">
        <v>249</v>
      </c>
      <c r="H31" s="544">
        <v>68</v>
      </c>
      <c r="I31" s="544" t="s">
        <v>249</v>
      </c>
      <c r="J31" s="544">
        <v>68</v>
      </c>
      <c r="K31" s="544" t="s">
        <v>249</v>
      </c>
      <c r="L31" s="544" t="s">
        <v>249</v>
      </c>
      <c r="M31" s="544">
        <v>70</v>
      </c>
      <c r="N31" s="544" t="s">
        <v>249</v>
      </c>
      <c r="O31" s="544">
        <v>70</v>
      </c>
      <c r="P31" s="544" t="s">
        <v>249</v>
      </c>
      <c r="Q31" s="544" t="s">
        <v>249</v>
      </c>
      <c r="R31" s="544">
        <v>63</v>
      </c>
      <c r="S31" s="544" t="s">
        <v>249</v>
      </c>
      <c r="T31" s="544">
        <v>63</v>
      </c>
      <c r="U31" s="544" t="s">
        <v>249</v>
      </c>
      <c r="V31" s="544" t="s">
        <v>249</v>
      </c>
      <c r="W31" s="555">
        <f>SUM(C31,H31,M31,R31)</f>
        <v>274</v>
      </c>
      <c r="X31" s="544" t="s">
        <v>249</v>
      </c>
      <c r="Y31" s="544">
        <f t="shared" si="250"/>
        <v>274</v>
      </c>
      <c r="Z31" s="544" t="s">
        <v>249</v>
      </c>
      <c r="AA31" s="544" t="s">
        <v>249</v>
      </c>
      <c r="AB31" s="544">
        <v>64</v>
      </c>
      <c r="AC31" s="544" t="s">
        <v>249</v>
      </c>
      <c r="AD31" s="544">
        <v>64</v>
      </c>
      <c r="AE31" s="544" t="s">
        <v>249</v>
      </c>
      <c r="AF31" s="544" t="s">
        <v>249</v>
      </c>
      <c r="AG31" s="544">
        <v>24</v>
      </c>
      <c r="AH31" s="544" t="s">
        <v>249</v>
      </c>
      <c r="AI31" s="544">
        <v>24</v>
      </c>
      <c r="AJ31" s="544" t="s">
        <v>249</v>
      </c>
      <c r="AK31" s="544" t="s">
        <v>249</v>
      </c>
      <c r="AL31" s="544">
        <v>51</v>
      </c>
      <c r="AM31" s="544" t="s">
        <v>249</v>
      </c>
      <c r="AN31" s="544">
        <v>51</v>
      </c>
      <c r="AO31" s="544" t="s">
        <v>249</v>
      </c>
      <c r="AP31" s="544" t="s">
        <v>249</v>
      </c>
      <c r="AQ31" s="544">
        <v>97</v>
      </c>
      <c r="AR31" s="544" t="s">
        <v>249</v>
      </c>
      <c r="AS31" s="544">
        <v>97</v>
      </c>
      <c r="AT31" s="544" t="s">
        <v>249</v>
      </c>
      <c r="AU31" s="544" t="s">
        <v>249</v>
      </c>
      <c r="AV31" s="555">
        <f>SUM(AB31,AG31,AL31,AQ31)</f>
        <v>236</v>
      </c>
      <c r="AW31" s="544" t="s">
        <v>249</v>
      </c>
      <c r="AX31" s="544">
        <f t="shared" si="251"/>
        <v>236</v>
      </c>
      <c r="AY31" s="544" t="s">
        <v>249</v>
      </c>
      <c r="AZ31" s="544" t="s">
        <v>249</v>
      </c>
      <c r="BA31" s="544">
        <v>67</v>
      </c>
      <c r="BB31" s="544" t="s">
        <v>249</v>
      </c>
      <c r="BC31" s="544">
        <v>67</v>
      </c>
      <c r="BD31" s="544" t="s">
        <v>249</v>
      </c>
      <c r="BE31" s="544" t="s">
        <v>249</v>
      </c>
      <c r="BF31" s="544">
        <v>69</v>
      </c>
      <c r="BG31" s="544" t="s">
        <v>249</v>
      </c>
      <c r="BH31" s="544">
        <v>69</v>
      </c>
      <c r="BI31" s="544" t="s">
        <v>249</v>
      </c>
      <c r="BJ31" s="544" t="s">
        <v>249</v>
      </c>
      <c r="BK31" s="544">
        <v>69</v>
      </c>
      <c r="BL31" s="544" t="s">
        <v>249</v>
      </c>
      <c r="BM31" s="544">
        <v>69</v>
      </c>
      <c r="BN31" s="544" t="s">
        <v>249</v>
      </c>
      <c r="BO31" s="544" t="s">
        <v>249</v>
      </c>
      <c r="BP31" s="544">
        <v>76</v>
      </c>
      <c r="BQ31" s="544" t="s">
        <v>249</v>
      </c>
      <c r="BR31" s="544">
        <v>76</v>
      </c>
      <c r="BS31" s="544" t="s">
        <v>249</v>
      </c>
      <c r="BT31" s="544" t="s">
        <v>249</v>
      </c>
      <c r="BU31" s="555">
        <f>SUM(BA31,BF31,BK31,BP31)</f>
        <v>281</v>
      </c>
      <c r="BV31" s="544" t="s">
        <v>249</v>
      </c>
      <c r="BW31" s="544">
        <f t="shared" si="252"/>
        <v>281</v>
      </c>
      <c r="BX31" s="544" t="s">
        <v>249</v>
      </c>
      <c r="BY31" s="544" t="s">
        <v>249</v>
      </c>
      <c r="BZ31" s="544">
        <v>73</v>
      </c>
      <c r="CA31" s="544" t="s">
        <v>249</v>
      </c>
      <c r="CB31" s="544">
        <v>73</v>
      </c>
      <c r="CC31" s="544" t="s">
        <v>249</v>
      </c>
      <c r="CD31" s="544" t="s">
        <v>249</v>
      </c>
      <c r="CE31" s="544">
        <v>76</v>
      </c>
      <c r="CF31" s="544" t="s">
        <v>249</v>
      </c>
      <c r="CG31" s="544">
        <v>76</v>
      </c>
      <c r="CH31" s="544" t="s">
        <v>249</v>
      </c>
      <c r="CI31" s="544" t="s">
        <v>249</v>
      </c>
      <c r="CJ31" s="544">
        <v>64</v>
      </c>
      <c r="CK31" s="544" t="s">
        <v>249</v>
      </c>
      <c r="CL31" s="544">
        <v>64</v>
      </c>
      <c r="CM31" s="544" t="s">
        <v>249</v>
      </c>
      <c r="CN31" s="544" t="s">
        <v>249</v>
      </c>
      <c r="CO31" s="544">
        <v>65</v>
      </c>
      <c r="CP31" s="544" t="s">
        <v>249</v>
      </c>
      <c r="CQ31" s="544">
        <v>65</v>
      </c>
      <c r="CR31" s="544" t="s">
        <v>249</v>
      </c>
      <c r="CS31" s="544" t="s">
        <v>249</v>
      </c>
      <c r="CT31" s="555">
        <f>SUM(BZ31,CE31,CJ31,CO31)</f>
        <v>278</v>
      </c>
      <c r="CU31" s="544" t="s">
        <v>249</v>
      </c>
      <c r="CV31" s="544">
        <f t="shared" si="253"/>
        <v>278</v>
      </c>
      <c r="CW31" s="544" t="s">
        <v>249</v>
      </c>
      <c r="CX31" s="544" t="s">
        <v>249</v>
      </c>
      <c r="CY31" s="544">
        <v>68</v>
      </c>
      <c r="CZ31" s="544" t="s">
        <v>249</v>
      </c>
      <c r="DA31" s="544">
        <v>68</v>
      </c>
      <c r="DB31" s="544" t="s">
        <v>249</v>
      </c>
      <c r="DC31" s="544" t="s">
        <v>249</v>
      </c>
      <c r="DD31" s="544">
        <v>31</v>
      </c>
      <c r="DE31" s="544" t="s">
        <v>249</v>
      </c>
      <c r="DF31" s="544">
        <v>31</v>
      </c>
      <c r="DG31" s="544" t="s">
        <v>249</v>
      </c>
      <c r="DH31" s="544" t="s">
        <v>249</v>
      </c>
      <c r="DI31" s="544">
        <v>63</v>
      </c>
      <c r="DJ31" s="544" t="s">
        <v>249</v>
      </c>
      <c r="DK31" s="544">
        <v>63</v>
      </c>
      <c r="DL31" s="544" t="s">
        <v>249</v>
      </c>
      <c r="DM31" s="544" t="s">
        <v>249</v>
      </c>
      <c r="DN31" s="544">
        <v>45</v>
      </c>
      <c r="DO31" s="544" t="s">
        <v>249</v>
      </c>
      <c r="DP31" s="544">
        <v>45</v>
      </c>
      <c r="DQ31" s="544" t="s">
        <v>249</v>
      </c>
      <c r="DR31" s="544" t="s">
        <v>249</v>
      </c>
      <c r="DS31" s="555">
        <f>SUM(CY31,DD31,DI31,DN31)</f>
        <v>207</v>
      </c>
      <c r="DT31" s="544" t="s">
        <v>249</v>
      </c>
      <c r="DU31" s="544">
        <f t="shared" si="254"/>
        <v>207</v>
      </c>
      <c r="DV31" s="544" t="s">
        <v>249</v>
      </c>
      <c r="DW31" s="544" t="s">
        <v>249</v>
      </c>
      <c r="DX31" s="544">
        <v>79</v>
      </c>
      <c r="DY31" s="544" t="s">
        <v>249</v>
      </c>
      <c r="DZ31" s="544">
        <v>79</v>
      </c>
      <c r="EA31" s="544" t="s">
        <v>249</v>
      </c>
      <c r="EB31" s="544" t="s">
        <v>249</v>
      </c>
      <c r="EC31" s="544">
        <v>61</v>
      </c>
      <c r="ED31" s="544" t="s">
        <v>249</v>
      </c>
      <c r="EE31" s="544">
        <v>61</v>
      </c>
      <c r="EF31" s="544" t="s">
        <v>249</v>
      </c>
      <c r="EG31" s="544" t="s">
        <v>249</v>
      </c>
      <c r="EH31" s="544">
        <v>63</v>
      </c>
      <c r="EI31" s="544" t="s">
        <v>249</v>
      </c>
      <c r="EJ31" s="544">
        <v>63</v>
      </c>
      <c r="EK31" s="544" t="s">
        <v>249</v>
      </c>
      <c r="EL31" s="544" t="s">
        <v>249</v>
      </c>
      <c r="EM31" s="544">
        <v>81</v>
      </c>
      <c r="EN31" s="544" t="s">
        <v>249</v>
      </c>
      <c r="EO31" s="544">
        <v>80</v>
      </c>
      <c r="EP31" s="544" t="s">
        <v>249</v>
      </c>
      <c r="EQ31" s="544" t="s">
        <v>249</v>
      </c>
      <c r="ER31" s="555">
        <f>SUM(DX31,EC31,EH31,EM31)</f>
        <v>284</v>
      </c>
      <c r="ES31" s="544" t="s">
        <v>249</v>
      </c>
      <c r="ET31" s="544">
        <f t="shared" si="255"/>
        <v>283</v>
      </c>
      <c r="EU31" s="544" t="s">
        <v>249</v>
      </c>
      <c r="EV31" s="544" t="s">
        <v>249</v>
      </c>
      <c r="EW31" s="544">
        <v>74</v>
      </c>
      <c r="EX31" s="544" t="s">
        <v>249</v>
      </c>
      <c r="EY31" s="544">
        <v>74</v>
      </c>
      <c r="EZ31" s="544" t="s">
        <v>249</v>
      </c>
      <c r="FA31" s="544" t="s">
        <v>249</v>
      </c>
      <c r="FB31" s="544"/>
      <c r="FC31" s="544"/>
      <c r="FD31" s="544"/>
      <c r="FE31" s="544"/>
      <c r="FF31" s="544"/>
      <c r="FG31" s="544"/>
      <c r="FH31" s="544"/>
      <c r="FI31" s="544"/>
      <c r="FJ31" s="544"/>
      <c r="FK31" s="544"/>
      <c r="FL31" s="544"/>
      <c r="FM31" s="544"/>
      <c r="FN31" s="544"/>
      <c r="FO31" s="544"/>
      <c r="FP31" s="544"/>
      <c r="FQ31" s="555">
        <f>SUM(EW31,FB31,FG31,FL31)</f>
        <v>74</v>
      </c>
      <c r="FR31" s="544" t="s">
        <v>249</v>
      </c>
      <c r="FS31" s="544">
        <f t="shared" ref="FS31" si="256">SUM(EY31,FD31,FI31,FN31)</f>
        <v>74</v>
      </c>
      <c r="FT31" s="544" t="s">
        <v>249</v>
      </c>
      <c r="FU31" s="544" t="s">
        <v>249</v>
      </c>
    </row>
    <row r="32" spans="2:179">
      <c r="B32" s="99" t="str">
        <f>names!$A772</f>
        <v>Aromaty, w tym:</v>
      </c>
      <c r="C32" s="539">
        <f>SUM(C33:C36)</f>
        <v>112</v>
      </c>
      <c r="D32" s="539">
        <f t="shared" ref="D32:BM32" si="257">SUM(D33:D36)</f>
        <v>58</v>
      </c>
      <c r="E32" s="539">
        <f t="shared" si="257"/>
        <v>54</v>
      </c>
      <c r="F32" s="539" t="s">
        <v>249</v>
      </c>
      <c r="G32" s="539" t="s">
        <v>249</v>
      </c>
      <c r="H32" s="539">
        <f t="shared" si="257"/>
        <v>116</v>
      </c>
      <c r="I32" s="539">
        <f t="shared" si="257"/>
        <v>65</v>
      </c>
      <c r="J32" s="539">
        <f t="shared" si="257"/>
        <v>51</v>
      </c>
      <c r="K32" s="539" t="s">
        <v>249</v>
      </c>
      <c r="L32" s="539" t="s">
        <v>249</v>
      </c>
      <c r="M32" s="539">
        <f t="shared" si="257"/>
        <v>101</v>
      </c>
      <c r="N32" s="539">
        <f t="shared" si="257"/>
        <v>48</v>
      </c>
      <c r="O32" s="539">
        <f t="shared" si="257"/>
        <v>53</v>
      </c>
      <c r="P32" s="539" t="s">
        <v>249</v>
      </c>
      <c r="Q32" s="539" t="s">
        <v>249</v>
      </c>
      <c r="R32" s="539">
        <f t="shared" si="257"/>
        <v>95</v>
      </c>
      <c r="S32" s="539">
        <f t="shared" si="257"/>
        <v>55</v>
      </c>
      <c r="T32" s="539">
        <f t="shared" si="257"/>
        <v>40</v>
      </c>
      <c r="U32" s="539" t="s">
        <v>249</v>
      </c>
      <c r="V32" s="539" t="s">
        <v>249</v>
      </c>
      <c r="W32" s="364">
        <f t="shared" si="257"/>
        <v>424</v>
      </c>
      <c r="X32" s="539">
        <f t="shared" si="257"/>
        <v>226</v>
      </c>
      <c r="Y32" s="539">
        <f t="shared" si="257"/>
        <v>198</v>
      </c>
      <c r="Z32" s="539" t="s">
        <v>249</v>
      </c>
      <c r="AA32" s="539" t="s">
        <v>249</v>
      </c>
      <c r="AB32" s="539">
        <f t="shared" si="257"/>
        <v>102</v>
      </c>
      <c r="AC32" s="539">
        <f t="shared" si="257"/>
        <v>50</v>
      </c>
      <c r="AD32" s="539">
        <f t="shared" si="257"/>
        <v>52</v>
      </c>
      <c r="AE32" s="539" t="s">
        <v>249</v>
      </c>
      <c r="AF32" s="539" t="s">
        <v>249</v>
      </c>
      <c r="AG32" s="539">
        <f t="shared" si="257"/>
        <v>54</v>
      </c>
      <c r="AH32" s="539">
        <f t="shared" si="257"/>
        <v>48</v>
      </c>
      <c r="AI32" s="539">
        <f t="shared" si="257"/>
        <v>6</v>
      </c>
      <c r="AJ32" s="539" t="s">
        <v>249</v>
      </c>
      <c r="AK32" s="539" t="s">
        <v>249</v>
      </c>
      <c r="AL32" s="539">
        <f t="shared" si="257"/>
        <v>106</v>
      </c>
      <c r="AM32" s="539">
        <f t="shared" si="257"/>
        <v>51</v>
      </c>
      <c r="AN32" s="539">
        <f t="shared" si="257"/>
        <v>54</v>
      </c>
      <c r="AO32" s="539" t="s">
        <v>249</v>
      </c>
      <c r="AP32" s="539" t="s">
        <v>249</v>
      </c>
      <c r="AQ32" s="539">
        <f t="shared" si="257"/>
        <v>109</v>
      </c>
      <c r="AR32" s="539">
        <f t="shared" si="257"/>
        <v>55</v>
      </c>
      <c r="AS32" s="539">
        <f t="shared" si="257"/>
        <v>54</v>
      </c>
      <c r="AT32" s="539" t="s">
        <v>249</v>
      </c>
      <c r="AU32" s="539" t="s">
        <v>249</v>
      </c>
      <c r="AV32" s="364">
        <f t="shared" ref="AV32:AX32" si="258">SUM(AV33:AV36)</f>
        <v>371</v>
      </c>
      <c r="AW32" s="539">
        <f t="shared" si="258"/>
        <v>204</v>
      </c>
      <c r="AX32" s="539">
        <f t="shared" si="258"/>
        <v>166</v>
      </c>
      <c r="AY32" s="539" t="s">
        <v>249</v>
      </c>
      <c r="AZ32" s="539" t="s">
        <v>249</v>
      </c>
      <c r="BA32" s="539">
        <f t="shared" si="257"/>
        <v>86</v>
      </c>
      <c r="BB32" s="539">
        <f t="shared" si="257"/>
        <v>39</v>
      </c>
      <c r="BC32" s="539">
        <f t="shared" si="257"/>
        <v>47</v>
      </c>
      <c r="BD32" s="539" t="s">
        <v>249</v>
      </c>
      <c r="BE32" s="539" t="s">
        <v>249</v>
      </c>
      <c r="BF32" s="539">
        <f t="shared" si="257"/>
        <v>81</v>
      </c>
      <c r="BG32" s="539">
        <f t="shared" si="257"/>
        <v>25</v>
      </c>
      <c r="BH32" s="539">
        <f t="shared" si="257"/>
        <v>56</v>
      </c>
      <c r="BI32" s="539" t="s">
        <v>249</v>
      </c>
      <c r="BJ32" s="539" t="s">
        <v>249</v>
      </c>
      <c r="BK32" s="539">
        <f t="shared" si="257"/>
        <v>81</v>
      </c>
      <c r="BL32" s="539">
        <f t="shared" si="257"/>
        <v>31</v>
      </c>
      <c r="BM32" s="539">
        <f t="shared" si="257"/>
        <v>50</v>
      </c>
      <c r="BN32" s="539" t="s">
        <v>249</v>
      </c>
      <c r="BO32" s="539" t="s">
        <v>249</v>
      </c>
      <c r="BP32" s="539">
        <f t="shared" ref="BP32:BW32" si="259">SUM(BP33:BP36)</f>
        <v>97</v>
      </c>
      <c r="BQ32" s="539">
        <f t="shared" si="259"/>
        <v>36</v>
      </c>
      <c r="BR32" s="539">
        <f t="shared" si="259"/>
        <v>61</v>
      </c>
      <c r="BS32" s="539" t="s">
        <v>249</v>
      </c>
      <c r="BT32" s="539" t="s">
        <v>249</v>
      </c>
      <c r="BU32" s="364">
        <f t="shared" si="259"/>
        <v>345</v>
      </c>
      <c r="BV32" s="539">
        <f t="shared" si="259"/>
        <v>131</v>
      </c>
      <c r="BW32" s="539">
        <f t="shared" si="259"/>
        <v>214</v>
      </c>
      <c r="BX32" s="539" t="s">
        <v>249</v>
      </c>
      <c r="BY32" s="539" t="s">
        <v>249</v>
      </c>
      <c r="BZ32" s="539">
        <f t="shared" ref="BZ32:CB32" si="260">SUM(BZ33:BZ36)</f>
        <v>111</v>
      </c>
      <c r="CA32" s="539">
        <f t="shared" si="260"/>
        <v>49</v>
      </c>
      <c r="CB32" s="539">
        <f t="shared" si="260"/>
        <v>62</v>
      </c>
      <c r="CC32" s="539" t="s">
        <v>249</v>
      </c>
      <c r="CD32" s="539" t="s">
        <v>249</v>
      </c>
      <c r="CE32" s="539">
        <f t="shared" ref="CE32:CG32" si="261">SUM(CE33:CE36)</f>
        <v>106</v>
      </c>
      <c r="CF32" s="539">
        <f t="shared" si="261"/>
        <v>53</v>
      </c>
      <c r="CG32" s="539">
        <f t="shared" si="261"/>
        <v>54</v>
      </c>
      <c r="CH32" s="539" t="s">
        <v>249</v>
      </c>
      <c r="CI32" s="539" t="s">
        <v>249</v>
      </c>
      <c r="CJ32" s="539">
        <f t="shared" ref="CJ32:CL32" si="262">SUM(CJ33:CJ36)</f>
        <v>87</v>
      </c>
      <c r="CK32" s="539">
        <f t="shared" si="262"/>
        <v>40</v>
      </c>
      <c r="CL32" s="539">
        <f t="shared" si="262"/>
        <v>47</v>
      </c>
      <c r="CM32" s="539" t="s">
        <v>249</v>
      </c>
      <c r="CN32" s="539" t="s">
        <v>249</v>
      </c>
      <c r="CO32" s="539">
        <f t="shared" ref="CO32:CQ32" si="263">SUM(CO33:CO36)</f>
        <v>90</v>
      </c>
      <c r="CP32" s="539">
        <f t="shared" si="263"/>
        <v>40</v>
      </c>
      <c r="CQ32" s="539">
        <f t="shared" si="263"/>
        <v>50</v>
      </c>
      <c r="CR32" s="539" t="s">
        <v>249</v>
      </c>
      <c r="CS32" s="539" t="s">
        <v>249</v>
      </c>
      <c r="CT32" s="364">
        <f t="shared" ref="CT32:CV32" si="264">SUM(CT33:CT36)</f>
        <v>394</v>
      </c>
      <c r="CU32" s="539">
        <f t="shared" si="264"/>
        <v>182</v>
      </c>
      <c r="CV32" s="539">
        <f t="shared" si="264"/>
        <v>213</v>
      </c>
      <c r="CW32" s="539" t="s">
        <v>249</v>
      </c>
      <c r="CX32" s="539" t="s">
        <v>249</v>
      </c>
      <c r="CY32" s="539">
        <f t="shared" ref="CY32:DA32" si="265">SUM(CY33:CY36)</f>
        <v>99</v>
      </c>
      <c r="CZ32" s="539">
        <f t="shared" si="265"/>
        <v>44</v>
      </c>
      <c r="DA32" s="539">
        <f t="shared" si="265"/>
        <v>55</v>
      </c>
      <c r="DB32" s="539" t="s">
        <v>249</v>
      </c>
      <c r="DC32" s="539" t="s">
        <v>249</v>
      </c>
      <c r="DD32" s="539">
        <f t="shared" ref="DD32:DF32" si="266">SUM(DD33:DD36)</f>
        <v>70</v>
      </c>
      <c r="DE32" s="539">
        <f t="shared" si="266"/>
        <v>41</v>
      </c>
      <c r="DF32" s="539">
        <f t="shared" si="266"/>
        <v>29</v>
      </c>
      <c r="DG32" s="539" t="s">
        <v>249</v>
      </c>
      <c r="DH32" s="539" t="s">
        <v>249</v>
      </c>
      <c r="DI32" s="539">
        <v>92</v>
      </c>
      <c r="DJ32" s="539">
        <f t="shared" ref="DJ32:DK32" si="267">SUM(DJ33:DJ36)</f>
        <v>42</v>
      </c>
      <c r="DK32" s="539">
        <f t="shared" si="267"/>
        <v>50</v>
      </c>
      <c r="DL32" s="539" t="s">
        <v>249</v>
      </c>
      <c r="DM32" s="539" t="s">
        <v>249</v>
      </c>
      <c r="DN32" s="539">
        <f t="shared" ref="DN32:DP32" si="268">SUM(DN33:DN36)</f>
        <v>83</v>
      </c>
      <c r="DO32" s="539">
        <f t="shared" si="268"/>
        <v>35</v>
      </c>
      <c r="DP32" s="539">
        <f t="shared" si="268"/>
        <v>48</v>
      </c>
      <c r="DQ32" s="539" t="s">
        <v>249</v>
      </c>
      <c r="DR32" s="539" t="s">
        <v>249</v>
      </c>
      <c r="DS32" s="364">
        <f t="shared" ref="DS32:DU32" si="269">SUM(DS33:DS36)</f>
        <v>344</v>
      </c>
      <c r="DT32" s="539">
        <f t="shared" si="269"/>
        <v>162</v>
      </c>
      <c r="DU32" s="539">
        <f t="shared" si="269"/>
        <v>182</v>
      </c>
      <c r="DV32" s="539" t="s">
        <v>249</v>
      </c>
      <c r="DW32" s="539" t="s">
        <v>249</v>
      </c>
      <c r="DX32" s="539">
        <f t="shared" ref="DX32:DZ32" si="270">SUM(DX33:DX36)</f>
        <v>98</v>
      </c>
      <c r="DY32" s="539">
        <f t="shared" si="270"/>
        <v>45</v>
      </c>
      <c r="DZ32" s="539">
        <f t="shared" si="270"/>
        <v>53</v>
      </c>
      <c r="EA32" s="539" t="s">
        <v>249</v>
      </c>
      <c r="EB32" s="539" t="s">
        <v>249</v>
      </c>
      <c r="EC32" s="539">
        <f t="shared" ref="EC32:EE32" si="271">SUM(EC33:EC36)</f>
        <v>84</v>
      </c>
      <c r="ED32" s="539">
        <f t="shared" si="271"/>
        <v>49</v>
      </c>
      <c r="EE32" s="539">
        <f t="shared" si="271"/>
        <v>34</v>
      </c>
      <c r="EF32" s="539" t="s">
        <v>249</v>
      </c>
      <c r="EG32" s="539" t="s">
        <v>249</v>
      </c>
      <c r="EH32" s="539">
        <f t="shared" ref="EH32:EJ32" si="272">SUM(EH33:EH36)</f>
        <v>84</v>
      </c>
      <c r="EI32" s="539">
        <f t="shared" si="272"/>
        <v>43</v>
      </c>
      <c r="EJ32" s="539">
        <f t="shared" si="272"/>
        <v>41</v>
      </c>
      <c r="EK32" s="539" t="s">
        <v>249</v>
      </c>
      <c r="EL32" s="539" t="s">
        <v>249</v>
      </c>
      <c r="EM32" s="539">
        <f t="shared" ref="EM32:EO32" si="273">SUM(EM33:EM36)</f>
        <v>87</v>
      </c>
      <c r="EN32" s="539">
        <f t="shared" si="273"/>
        <v>41</v>
      </c>
      <c r="EO32" s="539">
        <f t="shared" si="273"/>
        <v>46</v>
      </c>
      <c r="EP32" s="539" t="s">
        <v>249</v>
      </c>
      <c r="EQ32" s="539" t="s">
        <v>249</v>
      </c>
      <c r="ER32" s="364">
        <f t="shared" ref="ER32:ET32" si="274">SUM(ER33:ER36)</f>
        <v>353</v>
      </c>
      <c r="ES32" s="539">
        <f t="shared" si="274"/>
        <v>178</v>
      </c>
      <c r="ET32" s="539">
        <f t="shared" si="274"/>
        <v>174</v>
      </c>
      <c r="EU32" s="539" t="s">
        <v>249</v>
      </c>
      <c r="EV32" s="539" t="s">
        <v>249</v>
      </c>
      <c r="EW32" s="539">
        <f t="shared" ref="EW32:EY32" si="275">SUM(EW33:EW36)</f>
        <v>91</v>
      </c>
      <c r="EX32" s="539">
        <f t="shared" si="275"/>
        <v>48</v>
      </c>
      <c r="EY32" s="539">
        <f t="shared" si="275"/>
        <v>44</v>
      </c>
      <c r="EZ32" s="539" t="s">
        <v>249</v>
      </c>
      <c r="FA32" s="539" t="s">
        <v>249</v>
      </c>
      <c r="FB32" s="539">
        <f t="shared" ref="FB32:FD32" si="276">SUM(FB33:FB36)</f>
        <v>0</v>
      </c>
      <c r="FC32" s="539">
        <f t="shared" si="276"/>
        <v>0</v>
      </c>
      <c r="FD32" s="539">
        <f t="shared" si="276"/>
        <v>0</v>
      </c>
      <c r="FE32" s="539" t="s">
        <v>249</v>
      </c>
      <c r="FF32" s="539" t="s">
        <v>249</v>
      </c>
      <c r="FG32" s="539">
        <f t="shared" ref="FG32:FI32" si="277">SUM(FG33:FG36)</f>
        <v>0</v>
      </c>
      <c r="FH32" s="539">
        <f t="shared" si="277"/>
        <v>0</v>
      </c>
      <c r="FI32" s="539">
        <f t="shared" si="277"/>
        <v>0</v>
      </c>
      <c r="FJ32" s="539" t="s">
        <v>249</v>
      </c>
      <c r="FK32" s="539" t="s">
        <v>249</v>
      </c>
      <c r="FL32" s="539">
        <f t="shared" ref="FL32:FN32" si="278">SUM(FL33:FL36)</f>
        <v>0</v>
      </c>
      <c r="FM32" s="539">
        <f t="shared" si="278"/>
        <v>0</v>
      </c>
      <c r="FN32" s="539">
        <f t="shared" si="278"/>
        <v>0</v>
      </c>
      <c r="FO32" s="539" t="s">
        <v>249</v>
      </c>
      <c r="FP32" s="539" t="s">
        <v>249</v>
      </c>
      <c r="FQ32" s="364">
        <f t="shared" ref="FQ32:FS32" si="279">SUM(FQ33:FQ36)</f>
        <v>91</v>
      </c>
      <c r="FR32" s="539">
        <f t="shared" si="279"/>
        <v>48</v>
      </c>
      <c r="FS32" s="539">
        <f t="shared" si="279"/>
        <v>44</v>
      </c>
      <c r="FT32" s="539" t="s">
        <v>249</v>
      </c>
      <c r="FU32" s="539" t="s">
        <v>249</v>
      </c>
    </row>
    <row r="33" spans="2:179" outlineLevel="1">
      <c r="B33" s="546" t="str">
        <f>names!$A773</f>
        <v xml:space="preserve">  - benzen</v>
      </c>
      <c r="C33" s="541">
        <v>112</v>
      </c>
      <c r="D33" s="541">
        <v>58</v>
      </c>
      <c r="E33" s="541">
        <v>54</v>
      </c>
      <c r="F33" s="541" t="s">
        <v>249</v>
      </c>
      <c r="G33" s="541" t="s">
        <v>249</v>
      </c>
      <c r="H33" s="541">
        <v>116</v>
      </c>
      <c r="I33" s="541">
        <v>65</v>
      </c>
      <c r="J33" s="541">
        <v>51</v>
      </c>
      <c r="K33" s="541" t="s">
        <v>249</v>
      </c>
      <c r="L33" s="541" t="s">
        <v>249</v>
      </c>
      <c r="M33" s="541">
        <v>101</v>
      </c>
      <c r="N33" s="541">
        <v>48</v>
      </c>
      <c r="O33" s="541">
        <v>53</v>
      </c>
      <c r="P33" s="541" t="s">
        <v>249</v>
      </c>
      <c r="Q33" s="541" t="s">
        <v>249</v>
      </c>
      <c r="R33" s="541">
        <v>95</v>
      </c>
      <c r="S33" s="541">
        <v>55</v>
      </c>
      <c r="T33" s="541">
        <v>40</v>
      </c>
      <c r="U33" s="541" t="s">
        <v>249</v>
      </c>
      <c r="V33" s="541" t="s">
        <v>249</v>
      </c>
      <c r="W33" s="552">
        <f>SUM(C33,H33,M33,R33)</f>
        <v>424</v>
      </c>
      <c r="X33" s="541">
        <f t="shared" ref="X33:Y33" si="280">SUM(D33,I33,N33,S33)</f>
        <v>226</v>
      </c>
      <c r="Y33" s="541">
        <f t="shared" si="280"/>
        <v>198</v>
      </c>
      <c r="Z33" s="541" t="s">
        <v>249</v>
      </c>
      <c r="AA33" s="541" t="s">
        <v>249</v>
      </c>
      <c r="AB33" s="541">
        <v>102</v>
      </c>
      <c r="AC33" s="541">
        <v>50</v>
      </c>
      <c r="AD33" s="541">
        <v>52</v>
      </c>
      <c r="AE33" s="541" t="s">
        <v>249</v>
      </c>
      <c r="AF33" s="541" t="s">
        <v>249</v>
      </c>
      <c r="AG33" s="541">
        <v>54</v>
      </c>
      <c r="AH33" s="541">
        <v>48</v>
      </c>
      <c r="AI33" s="541">
        <v>6</v>
      </c>
      <c r="AJ33" s="541" t="s">
        <v>249</v>
      </c>
      <c r="AK33" s="541" t="s">
        <v>249</v>
      </c>
      <c r="AL33" s="541">
        <v>106</v>
      </c>
      <c r="AM33" s="541">
        <v>51</v>
      </c>
      <c r="AN33" s="541">
        <v>54</v>
      </c>
      <c r="AO33" s="541" t="s">
        <v>249</v>
      </c>
      <c r="AP33" s="541" t="s">
        <v>249</v>
      </c>
      <c r="AQ33" s="541">
        <v>109</v>
      </c>
      <c r="AR33" s="541">
        <v>55</v>
      </c>
      <c r="AS33" s="541">
        <v>54</v>
      </c>
      <c r="AT33" s="541" t="s">
        <v>249</v>
      </c>
      <c r="AU33" s="541" t="s">
        <v>249</v>
      </c>
      <c r="AV33" s="552">
        <f>SUM(AB33,AG33,AL33,AQ33)</f>
        <v>371</v>
      </c>
      <c r="AW33" s="541">
        <f t="shared" ref="AW33:AX33" si="281">SUM(AC33,AH33,AM33,AR33)</f>
        <v>204</v>
      </c>
      <c r="AX33" s="541">
        <f t="shared" si="281"/>
        <v>166</v>
      </c>
      <c r="AY33" s="541" t="s">
        <v>249</v>
      </c>
      <c r="AZ33" s="541" t="s">
        <v>249</v>
      </c>
      <c r="BA33" s="541">
        <v>86</v>
      </c>
      <c r="BB33" s="541">
        <v>39</v>
      </c>
      <c r="BC33" s="541">
        <v>47</v>
      </c>
      <c r="BD33" s="541" t="s">
        <v>249</v>
      </c>
      <c r="BE33" s="541" t="s">
        <v>249</v>
      </c>
      <c r="BF33" s="541">
        <v>81</v>
      </c>
      <c r="BG33" s="541">
        <v>25</v>
      </c>
      <c r="BH33" s="541">
        <v>56</v>
      </c>
      <c r="BI33" s="541" t="s">
        <v>249</v>
      </c>
      <c r="BJ33" s="541" t="s">
        <v>249</v>
      </c>
      <c r="BK33" s="541">
        <v>81</v>
      </c>
      <c r="BL33" s="541">
        <v>31</v>
      </c>
      <c r="BM33" s="541">
        <v>50</v>
      </c>
      <c r="BN33" s="541" t="s">
        <v>249</v>
      </c>
      <c r="BO33" s="541" t="s">
        <v>249</v>
      </c>
      <c r="BP33" s="541">
        <v>97</v>
      </c>
      <c r="BQ33" s="541">
        <v>36</v>
      </c>
      <c r="BR33" s="541">
        <v>61</v>
      </c>
      <c r="BS33" s="541" t="s">
        <v>249</v>
      </c>
      <c r="BT33" s="541" t="s">
        <v>249</v>
      </c>
      <c r="BU33" s="552">
        <f>SUM(BA33,BF33,BK33,BP33)</f>
        <v>345</v>
      </c>
      <c r="BV33" s="541">
        <f t="shared" ref="BV33:BW33" si="282">SUM(BB33,BG33,BL33,BQ33)</f>
        <v>131</v>
      </c>
      <c r="BW33" s="541">
        <f t="shared" si="282"/>
        <v>214</v>
      </c>
      <c r="BX33" s="541" t="s">
        <v>249</v>
      </c>
      <c r="BY33" s="541" t="s">
        <v>249</v>
      </c>
      <c r="BZ33" s="541">
        <v>111</v>
      </c>
      <c r="CA33" s="541">
        <v>49</v>
      </c>
      <c r="CB33" s="541">
        <v>62</v>
      </c>
      <c r="CC33" s="541" t="s">
        <v>249</v>
      </c>
      <c r="CD33" s="541" t="s">
        <v>249</v>
      </c>
      <c r="CE33" s="541">
        <v>106</v>
      </c>
      <c r="CF33" s="541">
        <v>53</v>
      </c>
      <c r="CG33" s="541">
        <v>54</v>
      </c>
      <c r="CH33" s="541" t="s">
        <v>249</v>
      </c>
      <c r="CI33" s="541" t="s">
        <v>249</v>
      </c>
      <c r="CJ33" s="541">
        <v>87</v>
      </c>
      <c r="CK33" s="541">
        <v>40</v>
      </c>
      <c r="CL33" s="541">
        <v>47</v>
      </c>
      <c r="CM33" s="541" t="s">
        <v>249</v>
      </c>
      <c r="CN33" s="541" t="s">
        <v>249</v>
      </c>
      <c r="CO33" s="541">
        <v>90</v>
      </c>
      <c r="CP33" s="541">
        <v>40</v>
      </c>
      <c r="CQ33" s="541">
        <v>50</v>
      </c>
      <c r="CR33" s="541" t="s">
        <v>249</v>
      </c>
      <c r="CS33" s="541" t="s">
        <v>249</v>
      </c>
      <c r="CT33" s="552">
        <f>SUM(BZ33,CE33,CJ33,CO33)</f>
        <v>394</v>
      </c>
      <c r="CU33" s="541">
        <f t="shared" ref="CU33" si="283">SUM(CA33,CF33,CK33,CP33)</f>
        <v>182</v>
      </c>
      <c r="CV33" s="541">
        <f t="shared" ref="CV33" si="284">SUM(CB33,CG33,CL33,CQ33)</f>
        <v>213</v>
      </c>
      <c r="CW33" s="541" t="s">
        <v>249</v>
      </c>
      <c r="CX33" s="541" t="s">
        <v>249</v>
      </c>
      <c r="CY33" s="541">
        <v>99</v>
      </c>
      <c r="CZ33" s="541">
        <v>44</v>
      </c>
      <c r="DA33" s="541">
        <v>55</v>
      </c>
      <c r="DB33" s="541" t="s">
        <v>249</v>
      </c>
      <c r="DC33" s="541" t="s">
        <v>249</v>
      </c>
      <c r="DD33" s="541">
        <v>70</v>
      </c>
      <c r="DE33" s="541">
        <v>41</v>
      </c>
      <c r="DF33" s="541">
        <v>29</v>
      </c>
      <c r="DG33" s="541" t="s">
        <v>249</v>
      </c>
      <c r="DH33" s="541" t="s">
        <v>249</v>
      </c>
      <c r="DI33" s="541">
        <v>92</v>
      </c>
      <c r="DJ33" s="541">
        <v>42</v>
      </c>
      <c r="DK33" s="541">
        <v>50</v>
      </c>
      <c r="DL33" s="541" t="s">
        <v>249</v>
      </c>
      <c r="DM33" s="541" t="s">
        <v>249</v>
      </c>
      <c r="DN33" s="541">
        <v>83</v>
      </c>
      <c r="DO33" s="541">
        <v>35</v>
      </c>
      <c r="DP33" s="541">
        <v>48</v>
      </c>
      <c r="DQ33" s="541" t="s">
        <v>249</v>
      </c>
      <c r="DR33" s="541" t="s">
        <v>249</v>
      </c>
      <c r="DS33" s="552">
        <f>SUM(CY33,DD33,DI33,DN33)</f>
        <v>344</v>
      </c>
      <c r="DT33" s="541">
        <f t="shared" ref="DT33" si="285">SUM(CZ33,DE33,DJ33,DO33)</f>
        <v>162</v>
      </c>
      <c r="DU33" s="541">
        <f t="shared" ref="DU33" si="286">SUM(DA33,DF33,DK33,DP33)</f>
        <v>182</v>
      </c>
      <c r="DV33" s="541" t="s">
        <v>249</v>
      </c>
      <c r="DW33" s="541" t="s">
        <v>249</v>
      </c>
      <c r="DX33" s="541">
        <v>98</v>
      </c>
      <c r="DY33" s="541">
        <v>45</v>
      </c>
      <c r="DZ33" s="541">
        <v>53</v>
      </c>
      <c r="EA33" s="541" t="s">
        <v>249</v>
      </c>
      <c r="EB33" s="541" t="s">
        <v>249</v>
      </c>
      <c r="EC33" s="541">
        <v>84</v>
      </c>
      <c r="ED33" s="541">
        <v>49</v>
      </c>
      <c r="EE33" s="541">
        <v>34</v>
      </c>
      <c r="EF33" s="541" t="s">
        <v>249</v>
      </c>
      <c r="EG33" s="541" t="s">
        <v>249</v>
      </c>
      <c r="EH33" s="541">
        <v>84</v>
      </c>
      <c r="EI33" s="541">
        <v>43</v>
      </c>
      <c r="EJ33" s="541">
        <v>41</v>
      </c>
      <c r="EK33" s="541" t="s">
        <v>249</v>
      </c>
      <c r="EL33" s="541" t="s">
        <v>249</v>
      </c>
      <c r="EM33" s="541">
        <v>87</v>
      </c>
      <c r="EN33" s="541">
        <v>41</v>
      </c>
      <c r="EO33" s="541">
        <v>46</v>
      </c>
      <c r="EP33" s="541" t="s">
        <v>249</v>
      </c>
      <c r="EQ33" s="541" t="s">
        <v>249</v>
      </c>
      <c r="ER33" s="552">
        <f>SUM(DX33,EC33,EH33,EM33)</f>
        <v>353</v>
      </c>
      <c r="ES33" s="541">
        <f t="shared" ref="ES33" si="287">SUM(DY33,ED33,EI33,EN33)</f>
        <v>178</v>
      </c>
      <c r="ET33" s="541">
        <f t="shared" ref="ET33" si="288">SUM(DZ33,EE33,EJ33,EO33)</f>
        <v>174</v>
      </c>
      <c r="EU33" s="541" t="s">
        <v>249</v>
      </c>
      <c r="EV33" s="541" t="s">
        <v>249</v>
      </c>
      <c r="EW33" s="541">
        <v>91</v>
      </c>
      <c r="EX33" s="541">
        <v>48</v>
      </c>
      <c r="EY33" s="541">
        <v>44</v>
      </c>
      <c r="EZ33" s="541" t="s">
        <v>249</v>
      </c>
      <c r="FA33" s="541" t="s">
        <v>249</v>
      </c>
      <c r="FB33" s="541"/>
      <c r="FC33" s="541"/>
      <c r="FD33" s="541"/>
      <c r="FE33" s="541"/>
      <c r="FF33" s="541"/>
      <c r="FG33" s="541"/>
      <c r="FH33" s="541"/>
      <c r="FI33" s="541"/>
      <c r="FJ33" s="541"/>
      <c r="FK33" s="541"/>
      <c r="FL33" s="541"/>
      <c r="FM33" s="541"/>
      <c r="FN33" s="541"/>
      <c r="FO33" s="541"/>
      <c r="FP33" s="541"/>
      <c r="FQ33" s="552">
        <f>SUM(EW33,FB33,FG33,FL33)</f>
        <v>91</v>
      </c>
      <c r="FR33" s="541">
        <f t="shared" ref="FR33" si="289">SUM(EX33,FC33,FH33,FM33)</f>
        <v>48</v>
      </c>
      <c r="FS33" s="541">
        <f>SUM(EY33,FD33,FI33,FN33)</f>
        <v>44</v>
      </c>
      <c r="FT33" s="541" t="s">
        <v>249</v>
      </c>
      <c r="FU33" s="541" t="s">
        <v>249</v>
      </c>
    </row>
    <row r="34" spans="2:179" outlineLevel="1">
      <c r="B34" s="546" t="str">
        <f>names!$A774</f>
        <v xml:space="preserve">  - toluen</v>
      </c>
      <c r="C34" s="541" t="s">
        <v>249</v>
      </c>
      <c r="D34" s="541" t="s">
        <v>249</v>
      </c>
      <c r="E34" s="541" t="s">
        <v>249</v>
      </c>
      <c r="F34" s="541" t="s">
        <v>249</v>
      </c>
      <c r="G34" s="541" t="s">
        <v>249</v>
      </c>
      <c r="H34" s="541" t="s">
        <v>249</v>
      </c>
      <c r="I34" s="541" t="s">
        <v>249</v>
      </c>
      <c r="J34" s="541" t="s">
        <v>249</v>
      </c>
      <c r="K34" s="541" t="s">
        <v>249</v>
      </c>
      <c r="L34" s="541" t="s">
        <v>249</v>
      </c>
      <c r="M34" s="541" t="s">
        <v>249</v>
      </c>
      <c r="N34" s="541" t="s">
        <v>249</v>
      </c>
      <c r="O34" s="541" t="s">
        <v>249</v>
      </c>
      <c r="P34" s="541" t="s">
        <v>249</v>
      </c>
      <c r="Q34" s="541" t="s">
        <v>249</v>
      </c>
      <c r="R34" s="541" t="s">
        <v>249</v>
      </c>
      <c r="S34" s="541" t="s">
        <v>249</v>
      </c>
      <c r="T34" s="541" t="s">
        <v>249</v>
      </c>
      <c r="U34" s="541" t="s">
        <v>249</v>
      </c>
      <c r="V34" s="541" t="s">
        <v>249</v>
      </c>
      <c r="W34" s="552" t="s">
        <v>249</v>
      </c>
      <c r="X34" s="541" t="s">
        <v>249</v>
      </c>
      <c r="Y34" s="541" t="s">
        <v>249</v>
      </c>
      <c r="Z34" s="541" t="s">
        <v>249</v>
      </c>
      <c r="AA34" s="541" t="s">
        <v>249</v>
      </c>
      <c r="AB34" s="541" t="s">
        <v>249</v>
      </c>
      <c r="AC34" s="541" t="s">
        <v>249</v>
      </c>
      <c r="AD34" s="541" t="s">
        <v>249</v>
      </c>
      <c r="AE34" s="541" t="s">
        <v>249</v>
      </c>
      <c r="AF34" s="541" t="s">
        <v>249</v>
      </c>
      <c r="AG34" s="541" t="s">
        <v>249</v>
      </c>
      <c r="AH34" s="541" t="s">
        <v>249</v>
      </c>
      <c r="AI34" s="541" t="s">
        <v>249</v>
      </c>
      <c r="AJ34" s="541" t="s">
        <v>249</v>
      </c>
      <c r="AK34" s="541" t="s">
        <v>249</v>
      </c>
      <c r="AL34" s="541" t="s">
        <v>249</v>
      </c>
      <c r="AM34" s="541" t="s">
        <v>249</v>
      </c>
      <c r="AN34" s="541" t="s">
        <v>249</v>
      </c>
      <c r="AO34" s="541" t="s">
        <v>249</v>
      </c>
      <c r="AP34" s="541" t="s">
        <v>249</v>
      </c>
      <c r="AQ34" s="541" t="s">
        <v>249</v>
      </c>
      <c r="AR34" s="541" t="s">
        <v>249</v>
      </c>
      <c r="AS34" s="541" t="s">
        <v>249</v>
      </c>
      <c r="AT34" s="541" t="s">
        <v>249</v>
      </c>
      <c r="AU34" s="541" t="s">
        <v>249</v>
      </c>
      <c r="AV34" s="552" t="s">
        <v>249</v>
      </c>
      <c r="AW34" s="541" t="s">
        <v>249</v>
      </c>
      <c r="AX34" s="541" t="s">
        <v>249</v>
      </c>
      <c r="AY34" s="541" t="s">
        <v>249</v>
      </c>
      <c r="AZ34" s="541" t="s">
        <v>249</v>
      </c>
      <c r="BA34" s="541" t="s">
        <v>249</v>
      </c>
      <c r="BB34" s="541" t="s">
        <v>249</v>
      </c>
      <c r="BC34" s="541" t="s">
        <v>249</v>
      </c>
      <c r="BD34" s="541" t="s">
        <v>249</v>
      </c>
      <c r="BE34" s="541" t="s">
        <v>249</v>
      </c>
      <c r="BF34" s="541" t="s">
        <v>249</v>
      </c>
      <c r="BG34" s="541" t="s">
        <v>249</v>
      </c>
      <c r="BH34" s="541" t="s">
        <v>249</v>
      </c>
      <c r="BI34" s="541" t="s">
        <v>249</v>
      </c>
      <c r="BJ34" s="541" t="s">
        <v>249</v>
      </c>
      <c r="BK34" s="541" t="s">
        <v>249</v>
      </c>
      <c r="BL34" s="541" t="s">
        <v>249</v>
      </c>
      <c r="BM34" s="541" t="s">
        <v>249</v>
      </c>
      <c r="BN34" s="541" t="s">
        <v>249</v>
      </c>
      <c r="BO34" s="541" t="s">
        <v>249</v>
      </c>
      <c r="BP34" s="541" t="s">
        <v>249</v>
      </c>
      <c r="BQ34" s="541" t="s">
        <v>249</v>
      </c>
      <c r="BR34" s="541" t="s">
        <v>249</v>
      </c>
      <c r="BS34" s="541" t="s">
        <v>249</v>
      </c>
      <c r="BT34" s="541" t="s">
        <v>249</v>
      </c>
      <c r="BU34" s="552" t="s">
        <v>249</v>
      </c>
      <c r="BV34" s="541" t="s">
        <v>249</v>
      </c>
      <c r="BW34" s="541" t="s">
        <v>249</v>
      </c>
      <c r="BX34" s="541" t="s">
        <v>249</v>
      </c>
      <c r="BY34" s="541" t="s">
        <v>249</v>
      </c>
      <c r="BZ34" s="541" t="s">
        <v>249</v>
      </c>
      <c r="CA34" s="541" t="s">
        <v>249</v>
      </c>
      <c r="CB34" s="541" t="s">
        <v>249</v>
      </c>
      <c r="CC34" s="541" t="s">
        <v>249</v>
      </c>
      <c r="CD34" s="541" t="s">
        <v>249</v>
      </c>
      <c r="CE34" s="541" t="s">
        <v>249</v>
      </c>
      <c r="CF34" s="541" t="s">
        <v>249</v>
      </c>
      <c r="CG34" s="541" t="s">
        <v>249</v>
      </c>
      <c r="CH34" s="541" t="s">
        <v>249</v>
      </c>
      <c r="CI34" s="541" t="s">
        <v>249</v>
      </c>
      <c r="CJ34" s="541" t="s">
        <v>249</v>
      </c>
      <c r="CK34" s="541" t="s">
        <v>249</v>
      </c>
      <c r="CL34" s="541" t="s">
        <v>249</v>
      </c>
      <c r="CM34" s="541" t="s">
        <v>249</v>
      </c>
      <c r="CN34" s="541" t="s">
        <v>249</v>
      </c>
      <c r="CO34" s="541" t="s">
        <v>249</v>
      </c>
      <c r="CP34" s="541" t="s">
        <v>249</v>
      </c>
      <c r="CQ34" s="541" t="s">
        <v>249</v>
      </c>
      <c r="CR34" s="541" t="s">
        <v>249</v>
      </c>
      <c r="CS34" s="541" t="s">
        <v>249</v>
      </c>
      <c r="CT34" s="552" t="s">
        <v>249</v>
      </c>
      <c r="CU34" s="541" t="s">
        <v>249</v>
      </c>
      <c r="CV34" s="541" t="s">
        <v>249</v>
      </c>
      <c r="CW34" s="541" t="s">
        <v>249</v>
      </c>
      <c r="CX34" s="541" t="s">
        <v>249</v>
      </c>
      <c r="CY34" s="541" t="s">
        <v>249</v>
      </c>
      <c r="CZ34" s="541" t="s">
        <v>249</v>
      </c>
      <c r="DA34" s="541" t="s">
        <v>249</v>
      </c>
      <c r="DB34" s="541" t="s">
        <v>249</v>
      </c>
      <c r="DC34" s="541" t="s">
        <v>249</v>
      </c>
      <c r="DD34" s="541" t="s">
        <v>249</v>
      </c>
      <c r="DE34" s="541" t="s">
        <v>249</v>
      </c>
      <c r="DF34" s="541" t="s">
        <v>249</v>
      </c>
      <c r="DG34" s="541" t="s">
        <v>249</v>
      </c>
      <c r="DH34" s="541" t="s">
        <v>249</v>
      </c>
      <c r="DI34" s="541" t="s">
        <v>249</v>
      </c>
      <c r="DJ34" s="541" t="s">
        <v>249</v>
      </c>
      <c r="DK34" s="541" t="s">
        <v>249</v>
      </c>
      <c r="DL34" s="541" t="s">
        <v>249</v>
      </c>
      <c r="DM34" s="541" t="s">
        <v>249</v>
      </c>
      <c r="DN34" s="541" t="s">
        <v>249</v>
      </c>
      <c r="DO34" s="541" t="s">
        <v>249</v>
      </c>
      <c r="DP34" s="541" t="s">
        <v>249</v>
      </c>
      <c r="DQ34" s="541" t="s">
        <v>249</v>
      </c>
      <c r="DR34" s="541" t="s">
        <v>249</v>
      </c>
      <c r="DS34" s="552" t="s">
        <v>249</v>
      </c>
      <c r="DT34" s="541" t="s">
        <v>249</v>
      </c>
      <c r="DU34" s="541" t="s">
        <v>249</v>
      </c>
      <c r="DV34" s="541" t="s">
        <v>249</v>
      </c>
      <c r="DW34" s="541" t="s">
        <v>249</v>
      </c>
      <c r="DX34" s="541" t="s">
        <v>249</v>
      </c>
      <c r="DY34" s="541" t="s">
        <v>249</v>
      </c>
      <c r="DZ34" s="541" t="s">
        <v>249</v>
      </c>
      <c r="EA34" s="541" t="s">
        <v>249</v>
      </c>
      <c r="EB34" s="541" t="s">
        <v>249</v>
      </c>
      <c r="EC34" s="541" t="s">
        <v>249</v>
      </c>
      <c r="ED34" s="541" t="s">
        <v>249</v>
      </c>
      <c r="EE34" s="541" t="s">
        <v>249</v>
      </c>
      <c r="EF34" s="541" t="s">
        <v>249</v>
      </c>
      <c r="EG34" s="541" t="s">
        <v>249</v>
      </c>
      <c r="EH34" s="541" t="s">
        <v>249</v>
      </c>
      <c r="EI34" s="541" t="s">
        <v>249</v>
      </c>
      <c r="EJ34" s="541" t="s">
        <v>249</v>
      </c>
      <c r="EK34" s="541" t="s">
        <v>249</v>
      </c>
      <c r="EL34" s="541" t="s">
        <v>249</v>
      </c>
      <c r="EM34" s="541" t="s">
        <v>249</v>
      </c>
      <c r="EN34" s="541" t="s">
        <v>249</v>
      </c>
      <c r="EO34" s="541" t="s">
        <v>249</v>
      </c>
      <c r="EP34" s="541" t="s">
        <v>249</v>
      </c>
      <c r="EQ34" s="541" t="s">
        <v>249</v>
      </c>
      <c r="ER34" s="552" t="s">
        <v>249</v>
      </c>
      <c r="ES34" s="541" t="s">
        <v>249</v>
      </c>
      <c r="ET34" s="541" t="s">
        <v>249</v>
      </c>
      <c r="EU34" s="541" t="s">
        <v>249</v>
      </c>
      <c r="EV34" s="541" t="s">
        <v>249</v>
      </c>
      <c r="EW34" s="541" t="s">
        <v>249</v>
      </c>
      <c r="EX34" s="541" t="s">
        <v>249</v>
      </c>
      <c r="EY34" s="541" t="s">
        <v>249</v>
      </c>
      <c r="EZ34" s="541" t="s">
        <v>249</v>
      </c>
      <c r="FA34" s="541" t="s">
        <v>249</v>
      </c>
      <c r="FB34" s="541"/>
      <c r="FC34" s="541"/>
      <c r="FD34" s="541"/>
      <c r="FE34" s="541"/>
      <c r="FF34" s="541"/>
      <c r="FG34" s="541"/>
      <c r="FH34" s="541"/>
      <c r="FI34" s="541"/>
      <c r="FJ34" s="541"/>
      <c r="FK34" s="541"/>
      <c r="FL34" s="541"/>
      <c r="FM34" s="541"/>
      <c r="FN34" s="541"/>
      <c r="FO34" s="541"/>
      <c r="FP34" s="541"/>
      <c r="FQ34" s="552" t="s">
        <v>249</v>
      </c>
      <c r="FR34" s="541" t="s">
        <v>249</v>
      </c>
      <c r="FS34" s="541" t="s">
        <v>249</v>
      </c>
      <c r="FT34" s="541" t="s">
        <v>249</v>
      </c>
      <c r="FU34" s="541" t="s">
        <v>249</v>
      </c>
    </row>
    <row r="35" spans="2:179" outlineLevel="1">
      <c r="B35" s="546" t="str">
        <f>names!$A775</f>
        <v xml:space="preserve">  - paraksylen</v>
      </c>
      <c r="C35" s="541" t="s">
        <v>249</v>
      </c>
      <c r="D35" s="541" t="s">
        <v>249</v>
      </c>
      <c r="E35" s="541" t="s">
        <v>249</v>
      </c>
      <c r="F35" s="541" t="s">
        <v>249</v>
      </c>
      <c r="G35" s="541" t="s">
        <v>249</v>
      </c>
      <c r="H35" s="541" t="s">
        <v>249</v>
      </c>
      <c r="I35" s="541" t="s">
        <v>249</v>
      </c>
      <c r="J35" s="541" t="s">
        <v>249</v>
      </c>
      <c r="K35" s="541" t="s">
        <v>249</v>
      </c>
      <c r="L35" s="541" t="s">
        <v>249</v>
      </c>
      <c r="M35" s="541" t="s">
        <v>249</v>
      </c>
      <c r="N35" s="541" t="s">
        <v>249</v>
      </c>
      <c r="O35" s="541" t="s">
        <v>249</v>
      </c>
      <c r="P35" s="541" t="s">
        <v>249</v>
      </c>
      <c r="Q35" s="541" t="s">
        <v>249</v>
      </c>
      <c r="R35" s="541" t="s">
        <v>249</v>
      </c>
      <c r="S35" s="541" t="s">
        <v>249</v>
      </c>
      <c r="T35" s="541" t="s">
        <v>249</v>
      </c>
      <c r="U35" s="541" t="s">
        <v>249</v>
      </c>
      <c r="V35" s="541" t="s">
        <v>249</v>
      </c>
      <c r="W35" s="552" t="s">
        <v>249</v>
      </c>
      <c r="X35" s="541" t="s">
        <v>249</v>
      </c>
      <c r="Y35" s="541" t="s">
        <v>249</v>
      </c>
      <c r="Z35" s="541" t="s">
        <v>249</v>
      </c>
      <c r="AA35" s="541" t="s">
        <v>249</v>
      </c>
      <c r="AB35" s="541" t="s">
        <v>249</v>
      </c>
      <c r="AC35" s="541" t="s">
        <v>249</v>
      </c>
      <c r="AD35" s="541" t="s">
        <v>249</v>
      </c>
      <c r="AE35" s="541" t="s">
        <v>249</v>
      </c>
      <c r="AF35" s="541" t="s">
        <v>249</v>
      </c>
      <c r="AG35" s="541" t="s">
        <v>249</v>
      </c>
      <c r="AH35" s="541" t="s">
        <v>249</v>
      </c>
      <c r="AI35" s="541" t="s">
        <v>249</v>
      </c>
      <c r="AJ35" s="541" t="s">
        <v>249</v>
      </c>
      <c r="AK35" s="541" t="s">
        <v>249</v>
      </c>
      <c r="AL35" s="541" t="s">
        <v>249</v>
      </c>
      <c r="AM35" s="541" t="s">
        <v>249</v>
      </c>
      <c r="AN35" s="541" t="s">
        <v>249</v>
      </c>
      <c r="AO35" s="541" t="s">
        <v>249</v>
      </c>
      <c r="AP35" s="541" t="s">
        <v>249</v>
      </c>
      <c r="AQ35" s="541" t="s">
        <v>249</v>
      </c>
      <c r="AR35" s="541" t="s">
        <v>249</v>
      </c>
      <c r="AS35" s="541" t="s">
        <v>249</v>
      </c>
      <c r="AT35" s="541" t="s">
        <v>249</v>
      </c>
      <c r="AU35" s="541" t="s">
        <v>249</v>
      </c>
      <c r="AV35" s="552" t="s">
        <v>249</v>
      </c>
      <c r="AW35" s="541" t="s">
        <v>249</v>
      </c>
      <c r="AX35" s="541" t="s">
        <v>249</v>
      </c>
      <c r="AY35" s="541" t="s">
        <v>249</v>
      </c>
      <c r="AZ35" s="541" t="s">
        <v>249</v>
      </c>
      <c r="BA35" s="541" t="s">
        <v>249</v>
      </c>
      <c r="BB35" s="541" t="s">
        <v>249</v>
      </c>
      <c r="BC35" s="541" t="s">
        <v>249</v>
      </c>
      <c r="BD35" s="541" t="s">
        <v>249</v>
      </c>
      <c r="BE35" s="541" t="s">
        <v>249</v>
      </c>
      <c r="BF35" s="541" t="s">
        <v>249</v>
      </c>
      <c r="BG35" s="541" t="s">
        <v>249</v>
      </c>
      <c r="BH35" s="541" t="s">
        <v>249</v>
      </c>
      <c r="BI35" s="541" t="s">
        <v>249</v>
      </c>
      <c r="BJ35" s="541" t="s">
        <v>249</v>
      </c>
      <c r="BK35" s="541" t="s">
        <v>249</v>
      </c>
      <c r="BL35" s="541" t="s">
        <v>249</v>
      </c>
      <c r="BM35" s="541" t="s">
        <v>249</v>
      </c>
      <c r="BN35" s="541" t="s">
        <v>249</v>
      </c>
      <c r="BO35" s="541" t="s">
        <v>249</v>
      </c>
      <c r="BP35" s="541" t="s">
        <v>249</v>
      </c>
      <c r="BQ35" s="541" t="s">
        <v>249</v>
      </c>
      <c r="BR35" s="541" t="s">
        <v>249</v>
      </c>
      <c r="BS35" s="541" t="s">
        <v>249</v>
      </c>
      <c r="BT35" s="541" t="s">
        <v>249</v>
      </c>
      <c r="BU35" s="552" t="s">
        <v>249</v>
      </c>
      <c r="BV35" s="541" t="s">
        <v>249</v>
      </c>
      <c r="BW35" s="541" t="s">
        <v>249</v>
      </c>
      <c r="BX35" s="541" t="s">
        <v>249</v>
      </c>
      <c r="BY35" s="541" t="s">
        <v>249</v>
      </c>
      <c r="BZ35" s="541" t="s">
        <v>249</v>
      </c>
      <c r="CA35" s="541" t="s">
        <v>249</v>
      </c>
      <c r="CB35" s="541" t="s">
        <v>249</v>
      </c>
      <c r="CC35" s="541" t="s">
        <v>249</v>
      </c>
      <c r="CD35" s="541" t="s">
        <v>249</v>
      </c>
      <c r="CE35" s="541" t="s">
        <v>249</v>
      </c>
      <c r="CF35" s="541" t="s">
        <v>249</v>
      </c>
      <c r="CG35" s="541" t="s">
        <v>249</v>
      </c>
      <c r="CH35" s="541" t="s">
        <v>249</v>
      </c>
      <c r="CI35" s="541" t="s">
        <v>249</v>
      </c>
      <c r="CJ35" s="541" t="s">
        <v>249</v>
      </c>
      <c r="CK35" s="541" t="s">
        <v>249</v>
      </c>
      <c r="CL35" s="541" t="s">
        <v>249</v>
      </c>
      <c r="CM35" s="541" t="s">
        <v>249</v>
      </c>
      <c r="CN35" s="541" t="s">
        <v>249</v>
      </c>
      <c r="CO35" s="541" t="s">
        <v>249</v>
      </c>
      <c r="CP35" s="541" t="s">
        <v>249</v>
      </c>
      <c r="CQ35" s="541" t="s">
        <v>249</v>
      </c>
      <c r="CR35" s="541" t="s">
        <v>249</v>
      </c>
      <c r="CS35" s="541" t="s">
        <v>249</v>
      </c>
      <c r="CT35" s="552" t="s">
        <v>249</v>
      </c>
      <c r="CU35" s="541" t="s">
        <v>249</v>
      </c>
      <c r="CV35" s="541" t="s">
        <v>249</v>
      </c>
      <c r="CW35" s="541" t="s">
        <v>249</v>
      </c>
      <c r="CX35" s="541" t="s">
        <v>249</v>
      </c>
      <c r="CY35" s="541" t="s">
        <v>249</v>
      </c>
      <c r="CZ35" s="541" t="s">
        <v>249</v>
      </c>
      <c r="DA35" s="541" t="s">
        <v>249</v>
      </c>
      <c r="DB35" s="541" t="s">
        <v>249</v>
      </c>
      <c r="DC35" s="541" t="s">
        <v>249</v>
      </c>
      <c r="DD35" s="541" t="s">
        <v>249</v>
      </c>
      <c r="DE35" s="541" t="s">
        <v>249</v>
      </c>
      <c r="DF35" s="541" t="s">
        <v>249</v>
      </c>
      <c r="DG35" s="541" t="s">
        <v>249</v>
      </c>
      <c r="DH35" s="541" t="s">
        <v>249</v>
      </c>
      <c r="DI35" s="541" t="s">
        <v>249</v>
      </c>
      <c r="DJ35" s="541" t="s">
        <v>249</v>
      </c>
      <c r="DK35" s="541" t="s">
        <v>249</v>
      </c>
      <c r="DL35" s="541" t="s">
        <v>249</v>
      </c>
      <c r="DM35" s="541" t="s">
        <v>249</v>
      </c>
      <c r="DN35" s="541" t="s">
        <v>249</v>
      </c>
      <c r="DO35" s="541" t="s">
        <v>249</v>
      </c>
      <c r="DP35" s="541" t="s">
        <v>249</v>
      </c>
      <c r="DQ35" s="541" t="s">
        <v>249</v>
      </c>
      <c r="DR35" s="541" t="s">
        <v>249</v>
      </c>
      <c r="DS35" s="552" t="s">
        <v>249</v>
      </c>
      <c r="DT35" s="541" t="s">
        <v>249</v>
      </c>
      <c r="DU35" s="541" t="s">
        <v>249</v>
      </c>
      <c r="DV35" s="541" t="s">
        <v>249</v>
      </c>
      <c r="DW35" s="541" t="s">
        <v>249</v>
      </c>
      <c r="DX35" s="541" t="s">
        <v>249</v>
      </c>
      <c r="DY35" s="541" t="s">
        <v>249</v>
      </c>
      <c r="DZ35" s="541" t="s">
        <v>249</v>
      </c>
      <c r="EA35" s="541" t="s">
        <v>249</v>
      </c>
      <c r="EB35" s="541" t="s">
        <v>249</v>
      </c>
      <c r="EC35" s="541" t="s">
        <v>249</v>
      </c>
      <c r="ED35" s="541" t="s">
        <v>249</v>
      </c>
      <c r="EE35" s="541" t="s">
        <v>249</v>
      </c>
      <c r="EF35" s="541" t="s">
        <v>249</v>
      </c>
      <c r="EG35" s="541" t="s">
        <v>249</v>
      </c>
      <c r="EH35" s="541" t="s">
        <v>249</v>
      </c>
      <c r="EI35" s="541" t="s">
        <v>249</v>
      </c>
      <c r="EJ35" s="541" t="s">
        <v>249</v>
      </c>
      <c r="EK35" s="541" t="s">
        <v>249</v>
      </c>
      <c r="EL35" s="541" t="s">
        <v>249</v>
      </c>
      <c r="EM35" s="541" t="s">
        <v>249</v>
      </c>
      <c r="EN35" s="541" t="s">
        <v>249</v>
      </c>
      <c r="EO35" s="541" t="s">
        <v>249</v>
      </c>
      <c r="EP35" s="541" t="s">
        <v>249</v>
      </c>
      <c r="EQ35" s="541" t="s">
        <v>249</v>
      </c>
      <c r="ER35" s="552" t="s">
        <v>249</v>
      </c>
      <c r="ES35" s="541" t="s">
        <v>249</v>
      </c>
      <c r="ET35" s="541" t="s">
        <v>249</v>
      </c>
      <c r="EU35" s="541" t="s">
        <v>249</v>
      </c>
      <c r="EV35" s="541" t="s">
        <v>249</v>
      </c>
      <c r="EW35" s="541" t="s">
        <v>249</v>
      </c>
      <c r="EX35" s="541" t="s">
        <v>249</v>
      </c>
      <c r="EY35" s="541" t="s">
        <v>249</v>
      </c>
      <c r="EZ35" s="541" t="s">
        <v>249</v>
      </c>
      <c r="FA35" s="541" t="s">
        <v>249</v>
      </c>
      <c r="FB35" s="541"/>
      <c r="FC35" s="541"/>
      <c r="FD35" s="541"/>
      <c r="FE35" s="541"/>
      <c r="FF35" s="541"/>
      <c r="FG35" s="541"/>
      <c r="FH35" s="541"/>
      <c r="FI35" s="541"/>
      <c r="FJ35" s="541"/>
      <c r="FK35" s="541"/>
      <c r="FL35" s="541"/>
      <c r="FM35" s="541"/>
      <c r="FN35" s="541"/>
      <c r="FO35" s="541"/>
      <c r="FP35" s="541"/>
      <c r="FQ35" s="552" t="s">
        <v>249</v>
      </c>
      <c r="FR35" s="541" t="s">
        <v>249</v>
      </c>
      <c r="FS35" s="541" t="s">
        <v>249</v>
      </c>
      <c r="FT35" s="541" t="s">
        <v>249</v>
      </c>
      <c r="FU35" s="541" t="s">
        <v>249</v>
      </c>
    </row>
    <row r="36" spans="2:179" outlineLevel="1">
      <c r="B36" s="547" t="str">
        <f>names!$A776</f>
        <v xml:space="preserve">  - ortoksylen</v>
      </c>
      <c r="C36" s="544" t="s">
        <v>249</v>
      </c>
      <c r="D36" s="544" t="s">
        <v>249</v>
      </c>
      <c r="E36" s="544" t="s">
        <v>249</v>
      </c>
      <c r="F36" s="544" t="s">
        <v>249</v>
      </c>
      <c r="G36" s="544" t="s">
        <v>249</v>
      </c>
      <c r="H36" s="544" t="s">
        <v>249</v>
      </c>
      <c r="I36" s="544" t="s">
        <v>249</v>
      </c>
      <c r="J36" s="544" t="s">
        <v>249</v>
      </c>
      <c r="K36" s="544" t="s">
        <v>249</v>
      </c>
      <c r="L36" s="544" t="s">
        <v>249</v>
      </c>
      <c r="M36" s="544" t="s">
        <v>249</v>
      </c>
      <c r="N36" s="544" t="s">
        <v>249</v>
      </c>
      <c r="O36" s="544" t="s">
        <v>249</v>
      </c>
      <c r="P36" s="544" t="s">
        <v>249</v>
      </c>
      <c r="Q36" s="544" t="s">
        <v>249</v>
      </c>
      <c r="R36" s="544" t="s">
        <v>249</v>
      </c>
      <c r="S36" s="544" t="s">
        <v>249</v>
      </c>
      <c r="T36" s="544" t="s">
        <v>249</v>
      </c>
      <c r="U36" s="544" t="s">
        <v>249</v>
      </c>
      <c r="V36" s="544" t="s">
        <v>249</v>
      </c>
      <c r="W36" s="555" t="s">
        <v>249</v>
      </c>
      <c r="X36" s="544" t="s">
        <v>249</v>
      </c>
      <c r="Y36" s="544" t="s">
        <v>249</v>
      </c>
      <c r="Z36" s="544" t="s">
        <v>249</v>
      </c>
      <c r="AA36" s="544" t="s">
        <v>249</v>
      </c>
      <c r="AB36" s="544" t="s">
        <v>249</v>
      </c>
      <c r="AC36" s="544" t="s">
        <v>249</v>
      </c>
      <c r="AD36" s="544" t="s">
        <v>249</v>
      </c>
      <c r="AE36" s="544" t="s">
        <v>249</v>
      </c>
      <c r="AF36" s="544" t="s">
        <v>249</v>
      </c>
      <c r="AG36" s="544" t="s">
        <v>249</v>
      </c>
      <c r="AH36" s="544" t="s">
        <v>249</v>
      </c>
      <c r="AI36" s="544" t="s">
        <v>249</v>
      </c>
      <c r="AJ36" s="544" t="s">
        <v>249</v>
      </c>
      <c r="AK36" s="544" t="s">
        <v>249</v>
      </c>
      <c r="AL36" s="544" t="s">
        <v>249</v>
      </c>
      <c r="AM36" s="544" t="s">
        <v>249</v>
      </c>
      <c r="AN36" s="544" t="s">
        <v>249</v>
      </c>
      <c r="AO36" s="544" t="s">
        <v>249</v>
      </c>
      <c r="AP36" s="544" t="s">
        <v>249</v>
      </c>
      <c r="AQ36" s="544" t="s">
        <v>249</v>
      </c>
      <c r="AR36" s="544" t="s">
        <v>249</v>
      </c>
      <c r="AS36" s="544" t="s">
        <v>249</v>
      </c>
      <c r="AT36" s="544" t="s">
        <v>249</v>
      </c>
      <c r="AU36" s="544" t="s">
        <v>249</v>
      </c>
      <c r="AV36" s="555" t="s">
        <v>249</v>
      </c>
      <c r="AW36" s="544" t="s">
        <v>249</v>
      </c>
      <c r="AX36" s="544" t="s">
        <v>249</v>
      </c>
      <c r="AY36" s="544" t="s">
        <v>249</v>
      </c>
      <c r="AZ36" s="544" t="s">
        <v>249</v>
      </c>
      <c r="BA36" s="544" t="s">
        <v>249</v>
      </c>
      <c r="BB36" s="544" t="s">
        <v>249</v>
      </c>
      <c r="BC36" s="544" t="s">
        <v>249</v>
      </c>
      <c r="BD36" s="544" t="s">
        <v>249</v>
      </c>
      <c r="BE36" s="544" t="s">
        <v>249</v>
      </c>
      <c r="BF36" s="544" t="s">
        <v>249</v>
      </c>
      <c r="BG36" s="544" t="s">
        <v>249</v>
      </c>
      <c r="BH36" s="544" t="s">
        <v>249</v>
      </c>
      <c r="BI36" s="544" t="s">
        <v>249</v>
      </c>
      <c r="BJ36" s="544" t="s">
        <v>249</v>
      </c>
      <c r="BK36" s="544" t="s">
        <v>249</v>
      </c>
      <c r="BL36" s="544" t="s">
        <v>249</v>
      </c>
      <c r="BM36" s="544" t="s">
        <v>249</v>
      </c>
      <c r="BN36" s="544" t="s">
        <v>249</v>
      </c>
      <c r="BO36" s="544" t="s">
        <v>249</v>
      </c>
      <c r="BP36" s="544" t="s">
        <v>249</v>
      </c>
      <c r="BQ36" s="544" t="s">
        <v>249</v>
      </c>
      <c r="BR36" s="544" t="s">
        <v>249</v>
      </c>
      <c r="BS36" s="544" t="s">
        <v>249</v>
      </c>
      <c r="BT36" s="544" t="s">
        <v>249</v>
      </c>
      <c r="BU36" s="555" t="s">
        <v>249</v>
      </c>
      <c r="BV36" s="544" t="s">
        <v>249</v>
      </c>
      <c r="BW36" s="544" t="s">
        <v>249</v>
      </c>
      <c r="BX36" s="544" t="s">
        <v>249</v>
      </c>
      <c r="BY36" s="544" t="s">
        <v>249</v>
      </c>
      <c r="BZ36" s="544" t="s">
        <v>249</v>
      </c>
      <c r="CA36" s="544" t="s">
        <v>249</v>
      </c>
      <c r="CB36" s="544" t="s">
        <v>249</v>
      </c>
      <c r="CC36" s="544" t="s">
        <v>249</v>
      </c>
      <c r="CD36" s="544" t="s">
        <v>249</v>
      </c>
      <c r="CE36" s="544" t="s">
        <v>249</v>
      </c>
      <c r="CF36" s="544" t="s">
        <v>249</v>
      </c>
      <c r="CG36" s="544" t="s">
        <v>249</v>
      </c>
      <c r="CH36" s="544" t="s">
        <v>249</v>
      </c>
      <c r="CI36" s="544" t="s">
        <v>249</v>
      </c>
      <c r="CJ36" s="544" t="s">
        <v>249</v>
      </c>
      <c r="CK36" s="544" t="s">
        <v>249</v>
      </c>
      <c r="CL36" s="544" t="s">
        <v>249</v>
      </c>
      <c r="CM36" s="544" t="s">
        <v>249</v>
      </c>
      <c r="CN36" s="544" t="s">
        <v>249</v>
      </c>
      <c r="CO36" s="544" t="s">
        <v>249</v>
      </c>
      <c r="CP36" s="544" t="s">
        <v>249</v>
      </c>
      <c r="CQ36" s="544" t="s">
        <v>249</v>
      </c>
      <c r="CR36" s="544" t="s">
        <v>249</v>
      </c>
      <c r="CS36" s="544" t="s">
        <v>249</v>
      </c>
      <c r="CT36" s="555" t="s">
        <v>249</v>
      </c>
      <c r="CU36" s="544" t="s">
        <v>249</v>
      </c>
      <c r="CV36" s="544" t="s">
        <v>249</v>
      </c>
      <c r="CW36" s="544" t="s">
        <v>249</v>
      </c>
      <c r="CX36" s="544" t="s">
        <v>249</v>
      </c>
      <c r="CY36" s="544" t="s">
        <v>249</v>
      </c>
      <c r="CZ36" s="544" t="s">
        <v>249</v>
      </c>
      <c r="DA36" s="544" t="s">
        <v>249</v>
      </c>
      <c r="DB36" s="544" t="s">
        <v>249</v>
      </c>
      <c r="DC36" s="544" t="s">
        <v>249</v>
      </c>
      <c r="DD36" s="544" t="s">
        <v>249</v>
      </c>
      <c r="DE36" s="544" t="s">
        <v>249</v>
      </c>
      <c r="DF36" s="544" t="s">
        <v>249</v>
      </c>
      <c r="DG36" s="544" t="s">
        <v>249</v>
      </c>
      <c r="DH36" s="544" t="s">
        <v>249</v>
      </c>
      <c r="DI36" s="544" t="s">
        <v>249</v>
      </c>
      <c r="DJ36" s="544" t="s">
        <v>249</v>
      </c>
      <c r="DK36" s="544" t="s">
        <v>249</v>
      </c>
      <c r="DL36" s="544" t="s">
        <v>249</v>
      </c>
      <c r="DM36" s="544" t="s">
        <v>249</v>
      </c>
      <c r="DN36" s="544" t="s">
        <v>249</v>
      </c>
      <c r="DO36" s="544" t="s">
        <v>249</v>
      </c>
      <c r="DP36" s="544" t="s">
        <v>249</v>
      </c>
      <c r="DQ36" s="544" t="s">
        <v>249</v>
      </c>
      <c r="DR36" s="544" t="s">
        <v>249</v>
      </c>
      <c r="DS36" s="555" t="s">
        <v>249</v>
      </c>
      <c r="DT36" s="544" t="s">
        <v>249</v>
      </c>
      <c r="DU36" s="544" t="s">
        <v>249</v>
      </c>
      <c r="DV36" s="544" t="s">
        <v>249</v>
      </c>
      <c r="DW36" s="544" t="s">
        <v>249</v>
      </c>
      <c r="DX36" s="544" t="s">
        <v>249</v>
      </c>
      <c r="DY36" s="544" t="s">
        <v>249</v>
      </c>
      <c r="DZ36" s="544" t="s">
        <v>249</v>
      </c>
      <c r="EA36" s="544" t="s">
        <v>249</v>
      </c>
      <c r="EB36" s="544" t="s">
        <v>249</v>
      </c>
      <c r="EC36" s="544" t="s">
        <v>249</v>
      </c>
      <c r="ED36" s="544" t="s">
        <v>249</v>
      </c>
      <c r="EE36" s="544" t="s">
        <v>249</v>
      </c>
      <c r="EF36" s="544" t="s">
        <v>249</v>
      </c>
      <c r="EG36" s="544" t="s">
        <v>249</v>
      </c>
      <c r="EH36" s="544" t="s">
        <v>249</v>
      </c>
      <c r="EI36" s="544" t="s">
        <v>249</v>
      </c>
      <c r="EJ36" s="544" t="s">
        <v>249</v>
      </c>
      <c r="EK36" s="544" t="s">
        <v>249</v>
      </c>
      <c r="EL36" s="544" t="s">
        <v>249</v>
      </c>
      <c r="EM36" s="544" t="s">
        <v>249</v>
      </c>
      <c r="EN36" s="544" t="s">
        <v>249</v>
      </c>
      <c r="EO36" s="544" t="s">
        <v>249</v>
      </c>
      <c r="EP36" s="544" t="s">
        <v>249</v>
      </c>
      <c r="EQ36" s="544" t="s">
        <v>249</v>
      </c>
      <c r="ER36" s="555" t="s">
        <v>249</v>
      </c>
      <c r="ES36" s="544" t="s">
        <v>249</v>
      </c>
      <c r="ET36" s="544" t="s">
        <v>249</v>
      </c>
      <c r="EU36" s="544" t="s">
        <v>249</v>
      </c>
      <c r="EV36" s="544" t="s">
        <v>249</v>
      </c>
      <c r="EW36" s="544" t="s">
        <v>249</v>
      </c>
      <c r="EX36" s="544" t="s">
        <v>249</v>
      </c>
      <c r="EY36" s="544" t="s">
        <v>249</v>
      </c>
      <c r="EZ36" s="544" t="s">
        <v>249</v>
      </c>
      <c r="FA36" s="544" t="s">
        <v>249</v>
      </c>
      <c r="FB36" s="544"/>
      <c r="FC36" s="544"/>
      <c r="FD36" s="544"/>
      <c r="FE36" s="544"/>
      <c r="FF36" s="544"/>
      <c r="FG36" s="544"/>
      <c r="FH36" s="544"/>
      <c r="FI36" s="544"/>
      <c r="FJ36" s="544"/>
      <c r="FK36" s="544"/>
      <c r="FL36" s="544"/>
      <c r="FM36" s="544"/>
      <c r="FN36" s="544"/>
      <c r="FO36" s="544"/>
      <c r="FP36" s="544"/>
      <c r="FQ36" s="555" t="s">
        <v>249</v>
      </c>
      <c r="FR36" s="544" t="s">
        <v>249</v>
      </c>
      <c r="FS36" s="544" t="s">
        <v>249</v>
      </c>
      <c r="FT36" s="544" t="s">
        <v>249</v>
      </c>
      <c r="FU36" s="544" t="s">
        <v>249</v>
      </c>
    </row>
    <row r="37" spans="2:179">
      <c r="B37" s="99" t="str">
        <f>names!$A777</f>
        <v>Nawozy sztuczne, w tym:</v>
      </c>
      <c r="C37" s="539">
        <f>SUM(C38:C41)</f>
        <v>297</v>
      </c>
      <c r="D37" s="539" t="s">
        <v>249</v>
      </c>
      <c r="E37" s="539">
        <f t="shared" ref="E37:BP37" si="290">SUM(E38:E41)</f>
        <v>50</v>
      </c>
      <c r="F37" s="539" t="s">
        <v>249</v>
      </c>
      <c r="G37" s="539">
        <f t="shared" si="290"/>
        <v>247</v>
      </c>
      <c r="H37" s="539">
        <f t="shared" si="290"/>
        <v>205</v>
      </c>
      <c r="I37" s="539" t="s">
        <v>249</v>
      </c>
      <c r="J37" s="539">
        <f t="shared" si="290"/>
        <v>38</v>
      </c>
      <c r="K37" s="539" t="s">
        <v>249</v>
      </c>
      <c r="L37" s="539">
        <f t="shared" si="290"/>
        <v>167</v>
      </c>
      <c r="M37" s="539">
        <f t="shared" si="290"/>
        <v>267</v>
      </c>
      <c r="N37" s="539" t="s">
        <v>249</v>
      </c>
      <c r="O37" s="539">
        <f t="shared" si="290"/>
        <v>44</v>
      </c>
      <c r="P37" s="539" t="s">
        <v>249</v>
      </c>
      <c r="Q37" s="539">
        <f t="shared" si="290"/>
        <v>223</v>
      </c>
      <c r="R37" s="539">
        <f t="shared" si="290"/>
        <v>290</v>
      </c>
      <c r="S37" s="539" t="s">
        <v>249</v>
      </c>
      <c r="T37" s="539">
        <f t="shared" si="290"/>
        <v>41</v>
      </c>
      <c r="U37" s="539" t="s">
        <v>249</v>
      </c>
      <c r="V37" s="539">
        <f t="shared" si="290"/>
        <v>250</v>
      </c>
      <c r="W37" s="364">
        <f t="shared" si="290"/>
        <v>1059</v>
      </c>
      <c r="X37" s="539" t="s">
        <v>249</v>
      </c>
      <c r="Y37" s="539">
        <f t="shared" si="290"/>
        <v>173</v>
      </c>
      <c r="Z37" s="539" t="s">
        <v>249</v>
      </c>
      <c r="AA37" s="539">
        <f t="shared" si="290"/>
        <v>887</v>
      </c>
      <c r="AB37" s="539">
        <f t="shared" si="290"/>
        <v>286</v>
      </c>
      <c r="AC37" s="539" t="s">
        <v>249</v>
      </c>
      <c r="AD37" s="539">
        <f t="shared" si="290"/>
        <v>49</v>
      </c>
      <c r="AE37" s="539" t="s">
        <v>249</v>
      </c>
      <c r="AF37" s="539">
        <f t="shared" si="290"/>
        <v>238</v>
      </c>
      <c r="AG37" s="539">
        <f t="shared" si="290"/>
        <v>259</v>
      </c>
      <c r="AH37" s="539" t="s">
        <v>249</v>
      </c>
      <c r="AI37" s="539">
        <f t="shared" si="290"/>
        <v>48</v>
      </c>
      <c r="AJ37" s="539" t="s">
        <v>249</v>
      </c>
      <c r="AK37" s="539">
        <f t="shared" si="290"/>
        <v>211</v>
      </c>
      <c r="AL37" s="539">
        <f t="shared" si="290"/>
        <v>281</v>
      </c>
      <c r="AM37" s="539" t="s">
        <v>249</v>
      </c>
      <c r="AN37" s="539">
        <f t="shared" si="290"/>
        <v>29</v>
      </c>
      <c r="AO37" s="539" t="s">
        <v>249</v>
      </c>
      <c r="AP37" s="539">
        <f t="shared" si="290"/>
        <v>253</v>
      </c>
      <c r="AQ37" s="539">
        <f t="shared" si="290"/>
        <v>278</v>
      </c>
      <c r="AR37" s="539" t="s">
        <v>249</v>
      </c>
      <c r="AS37" s="539">
        <f t="shared" si="290"/>
        <v>51</v>
      </c>
      <c r="AT37" s="539" t="s">
        <v>249</v>
      </c>
      <c r="AU37" s="539">
        <f t="shared" si="290"/>
        <v>226</v>
      </c>
      <c r="AV37" s="364">
        <f t="shared" si="290"/>
        <v>1104</v>
      </c>
      <c r="AW37" s="539" t="s">
        <v>249</v>
      </c>
      <c r="AX37" s="539">
        <f t="shared" ref="AX37" si="291">SUM(AX38:AX41)</f>
        <v>177</v>
      </c>
      <c r="AY37" s="539" t="s">
        <v>249</v>
      </c>
      <c r="AZ37" s="539">
        <f t="shared" ref="AZ37" si="292">SUM(AZ38:AZ41)</f>
        <v>928</v>
      </c>
      <c r="BA37" s="539">
        <f t="shared" si="290"/>
        <v>306</v>
      </c>
      <c r="BB37" s="539" t="s">
        <v>249</v>
      </c>
      <c r="BC37" s="539">
        <f t="shared" si="290"/>
        <v>54</v>
      </c>
      <c r="BD37" s="539" t="s">
        <v>249</v>
      </c>
      <c r="BE37" s="539">
        <f t="shared" si="290"/>
        <v>252</v>
      </c>
      <c r="BF37" s="539">
        <f t="shared" si="290"/>
        <v>268</v>
      </c>
      <c r="BG37" s="539" t="s">
        <v>249</v>
      </c>
      <c r="BH37" s="539">
        <f t="shared" si="290"/>
        <v>51</v>
      </c>
      <c r="BI37" s="539" t="s">
        <v>249</v>
      </c>
      <c r="BJ37" s="539">
        <f t="shared" si="290"/>
        <v>217</v>
      </c>
      <c r="BK37" s="539">
        <f t="shared" si="290"/>
        <v>283</v>
      </c>
      <c r="BL37" s="539" t="s">
        <v>249</v>
      </c>
      <c r="BM37" s="539">
        <f t="shared" si="290"/>
        <v>22</v>
      </c>
      <c r="BN37" s="539" t="s">
        <v>249</v>
      </c>
      <c r="BO37" s="539">
        <f t="shared" si="290"/>
        <v>261</v>
      </c>
      <c r="BP37" s="539">
        <f t="shared" si="290"/>
        <v>264</v>
      </c>
      <c r="BQ37" s="539" t="s">
        <v>249</v>
      </c>
      <c r="BR37" s="539">
        <f t="shared" ref="BR37:BU37" si="293">SUM(BR38:BR41)</f>
        <v>50</v>
      </c>
      <c r="BS37" s="539" t="s">
        <v>249</v>
      </c>
      <c r="BT37" s="539">
        <f t="shared" si="293"/>
        <v>225</v>
      </c>
      <c r="BU37" s="364">
        <f t="shared" si="293"/>
        <v>1121</v>
      </c>
      <c r="BV37" s="539" t="s">
        <v>249</v>
      </c>
      <c r="BW37" s="539">
        <f t="shared" ref="BW37" si="294">SUM(BW38:BW41)</f>
        <v>177</v>
      </c>
      <c r="BX37" s="539" t="s">
        <v>249</v>
      </c>
      <c r="BY37" s="539">
        <f t="shared" ref="BY37:CE37" si="295">SUM(BY38:BY41)</f>
        <v>955</v>
      </c>
      <c r="BZ37" s="539">
        <f t="shared" si="295"/>
        <v>228</v>
      </c>
      <c r="CA37" s="539" t="s">
        <v>249</v>
      </c>
      <c r="CB37" s="539">
        <f t="shared" si="295"/>
        <v>52</v>
      </c>
      <c r="CC37" s="539" t="s">
        <v>249</v>
      </c>
      <c r="CD37" s="539">
        <f t="shared" si="295"/>
        <v>176</v>
      </c>
      <c r="CE37" s="539">
        <f t="shared" si="295"/>
        <v>293</v>
      </c>
      <c r="CF37" s="539" t="s">
        <v>249</v>
      </c>
      <c r="CG37" s="539">
        <f t="shared" ref="CG37" si="296">SUM(CG38:CG41)</f>
        <v>49</v>
      </c>
      <c r="CH37" s="539" t="s">
        <v>249</v>
      </c>
      <c r="CI37" s="539">
        <f t="shared" ref="CI37" si="297">SUM(CI38:CI41)</f>
        <v>244</v>
      </c>
      <c r="CJ37" s="539">
        <f t="shared" ref="CJ37" si="298">SUM(CJ38:CJ41)</f>
        <v>194</v>
      </c>
      <c r="CK37" s="539" t="s">
        <v>249</v>
      </c>
      <c r="CL37" s="539">
        <f t="shared" ref="CL37" si="299">SUM(CL38:CL41)</f>
        <v>25</v>
      </c>
      <c r="CM37" s="539" t="s">
        <v>249</v>
      </c>
      <c r="CN37" s="539">
        <f t="shared" ref="CN37:CO37" si="300">SUM(CN38:CN41)</f>
        <v>169</v>
      </c>
      <c r="CO37" s="539">
        <f t="shared" si="300"/>
        <v>185</v>
      </c>
      <c r="CP37" s="539" t="s">
        <v>249</v>
      </c>
      <c r="CQ37" s="539">
        <f t="shared" ref="CQ37" si="301">SUM(CQ38:CQ41)</f>
        <v>37</v>
      </c>
      <c r="CR37" s="539" t="s">
        <v>249</v>
      </c>
      <c r="CS37" s="539">
        <f t="shared" ref="CS37:CT37" si="302">SUM(CS38:CS41)</f>
        <v>148</v>
      </c>
      <c r="CT37" s="364">
        <f t="shared" si="302"/>
        <v>900</v>
      </c>
      <c r="CU37" s="539" t="s">
        <v>249</v>
      </c>
      <c r="CV37" s="539">
        <f t="shared" ref="CV37" si="303">SUM(CV38:CV41)</f>
        <v>163</v>
      </c>
      <c r="CW37" s="539" t="s">
        <v>249</v>
      </c>
      <c r="CX37" s="539">
        <f t="shared" ref="CX37:CY37" si="304">SUM(CX38:CX41)</f>
        <v>737</v>
      </c>
      <c r="CY37" s="539">
        <f t="shared" si="304"/>
        <v>278</v>
      </c>
      <c r="CZ37" s="539" t="s">
        <v>249</v>
      </c>
      <c r="DA37" s="539">
        <f t="shared" ref="DA37" si="305">SUM(DA38:DA41)</f>
        <v>22</v>
      </c>
      <c r="DB37" s="539" t="s">
        <v>249</v>
      </c>
      <c r="DC37" s="539">
        <f t="shared" ref="DC37:DD37" si="306">SUM(DC38:DC41)</f>
        <v>256</v>
      </c>
      <c r="DD37" s="539">
        <f t="shared" si="306"/>
        <v>229</v>
      </c>
      <c r="DE37" s="539" t="s">
        <v>249</v>
      </c>
      <c r="DF37" s="539">
        <f t="shared" ref="DF37" si="307">SUM(DF38:DF41)</f>
        <v>32</v>
      </c>
      <c r="DG37" s="539" t="s">
        <v>249</v>
      </c>
      <c r="DH37" s="539">
        <f t="shared" ref="DH37" si="308">SUM(DH38:DH41)</f>
        <v>197</v>
      </c>
      <c r="DI37" s="539">
        <v>207</v>
      </c>
      <c r="DJ37" s="539"/>
      <c r="DK37" s="539">
        <f t="shared" ref="DK37" si="309">SUM(DK38:DK41)</f>
        <v>18</v>
      </c>
      <c r="DL37" s="539" t="s">
        <v>249</v>
      </c>
      <c r="DM37" s="539">
        <f t="shared" ref="DM37:DN37" si="310">SUM(DM38:DM41)</f>
        <v>189</v>
      </c>
      <c r="DN37" s="539">
        <f t="shared" si="310"/>
        <v>293</v>
      </c>
      <c r="DO37" s="539"/>
      <c r="DP37" s="539">
        <f t="shared" ref="DP37" si="311">SUM(DP38:DP41)</f>
        <v>32</v>
      </c>
      <c r="DQ37" s="539" t="s">
        <v>249</v>
      </c>
      <c r="DR37" s="539">
        <f t="shared" ref="DR37:DS37" si="312">SUM(DR38:DR41)</f>
        <v>261</v>
      </c>
      <c r="DS37" s="364">
        <f t="shared" si="312"/>
        <v>1007</v>
      </c>
      <c r="DT37" s="539" t="s">
        <v>249</v>
      </c>
      <c r="DU37" s="539">
        <f t="shared" ref="DU37" si="313">SUM(DU38:DU41)</f>
        <v>104</v>
      </c>
      <c r="DV37" s="539" t="s">
        <v>249</v>
      </c>
      <c r="DW37" s="539">
        <f t="shared" ref="DW37:DX37" si="314">SUM(DW38:DW41)</f>
        <v>903</v>
      </c>
      <c r="DX37" s="539">
        <f t="shared" si="314"/>
        <v>286</v>
      </c>
      <c r="DY37" s="539" t="s">
        <v>249</v>
      </c>
      <c r="DZ37" s="539">
        <f t="shared" ref="DZ37" si="315">SUM(DZ38:DZ41)</f>
        <v>34</v>
      </c>
      <c r="EA37" s="539" t="s">
        <v>249</v>
      </c>
      <c r="EB37" s="539">
        <f t="shared" ref="EB37:EC37" si="316">SUM(EB38:EB41)</f>
        <v>252</v>
      </c>
      <c r="EC37" s="539">
        <f t="shared" si="316"/>
        <v>281</v>
      </c>
      <c r="ED37" s="539" t="s">
        <v>249</v>
      </c>
      <c r="EE37" s="539">
        <f t="shared" ref="EE37" si="317">SUM(EE38:EE41)</f>
        <v>34</v>
      </c>
      <c r="EF37" s="539" t="s">
        <v>249</v>
      </c>
      <c r="EG37" s="539">
        <f t="shared" ref="EG37:EH37" si="318">SUM(EG38:EG41)</f>
        <v>247</v>
      </c>
      <c r="EH37" s="539">
        <f t="shared" si="318"/>
        <v>266</v>
      </c>
      <c r="EI37" s="539" t="s">
        <v>249</v>
      </c>
      <c r="EJ37" s="539">
        <f t="shared" ref="EJ37" si="319">SUM(EJ38:EJ41)</f>
        <v>5</v>
      </c>
      <c r="EK37" s="539" t="s">
        <v>249</v>
      </c>
      <c r="EL37" s="539">
        <f t="shared" ref="EL37:EM37" si="320">SUM(EL38:EL41)</f>
        <v>262</v>
      </c>
      <c r="EM37" s="539">
        <f t="shared" si="320"/>
        <v>279</v>
      </c>
      <c r="EN37" s="539"/>
      <c r="EO37" s="539">
        <f t="shared" ref="EO37" si="321">SUM(EO38:EO41)</f>
        <v>10</v>
      </c>
      <c r="EP37" s="539" t="s">
        <v>249</v>
      </c>
      <c r="EQ37" s="539">
        <f t="shared" ref="EQ37:ER37" si="322">SUM(EQ38:EQ41)</f>
        <v>269</v>
      </c>
      <c r="ER37" s="364">
        <f t="shared" si="322"/>
        <v>1091</v>
      </c>
      <c r="ES37" s="539" t="s">
        <v>249</v>
      </c>
      <c r="ET37" s="539">
        <f t="shared" ref="ET37" si="323">SUM(ET38:ET41)</f>
        <v>83</v>
      </c>
      <c r="EU37" s="539" t="s">
        <v>249</v>
      </c>
      <c r="EV37" s="539">
        <f t="shared" ref="EV37:EW37" si="324">SUM(EV38:EV41)</f>
        <v>1009</v>
      </c>
      <c r="EW37" s="539">
        <f t="shared" si="324"/>
        <v>216</v>
      </c>
      <c r="EX37" s="539" t="s">
        <v>249</v>
      </c>
      <c r="EY37" s="539">
        <f t="shared" ref="EY37" si="325">SUM(EY38:EY41)</f>
        <v>3</v>
      </c>
      <c r="EZ37" s="539" t="s">
        <v>249</v>
      </c>
      <c r="FA37" s="539">
        <f t="shared" ref="FA37:FB37" si="326">SUM(FA38:FA41)</f>
        <v>213</v>
      </c>
      <c r="FB37" s="539">
        <f t="shared" si="326"/>
        <v>0</v>
      </c>
      <c r="FC37" s="539" t="s">
        <v>249</v>
      </c>
      <c r="FD37" s="539">
        <f t="shared" ref="FD37" si="327">SUM(FD38:FD41)</f>
        <v>0</v>
      </c>
      <c r="FE37" s="539" t="s">
        <v>249</v>
      </c>
      <c r="FF37" s="539">
        <f t="shared" ref="FF37:FG37" si="328">SUM(FF38:FF41)</f>
        <v>0</v>
      </c>
      <c r="FG37" s="539">
        <f t="shared" si="328"/>
        <v>0</v>
      </c>
      <c r="FH37" s="539" t="s">
        <v>249</v>
      </c>
      <c r="FI37" s="539">
        <f t="shared" ref="FI37" si="329">SUM(FI38:FI41)</f>
        <v>0</v>
      </c>
      <c r="FJ37" s="539" t="s">
        <v>249</v>
      </c>
      <c r="FK37" s="539">
        <f t="shared" ref="FK37:FL37" si="330">SUM(FK38:FK41)</f>
        <v>0</v>
      </c>
      <c r="FL37" s="539">
        <f t="shared" si="330"/>
        <v>0</v>
      </c>
      <c r="FM37" s="539" t="s">
        <v>249</v>
      </c>
      <c r="FN37" s="539">
        <f t="shared" ref="FN37" si="331">SUM(FN38:FN41)</f>
        <v>0</v>
      </c>
      <c r="FO37" s="539" t="s">
        <v>249</v>
      </c>
      <c r="FP37" s="539">
        <f t="shared" ref="FP37" si="332">SUM(FP38:FP41)</f>
        <v>0</v>
      </c>
      <c r="FQ37" s="364">
        <f t="shared" ref="FQ37" si="333">SUM(FQ38:FQ41)</f>
        <v>208</v>
      </c>
      <c r="FR37" s="539" t="s">
        <v>249</v>
      </c>
      <c r="FS37" s="539">
        <f t="shared" ref="FS37" si="334">SUM(FS38:FS41)</f>
        <v>3</v>
      </c>
      <c r="FT37" s="539" t="s">
        <v>249</v>
      </c>
      <c r="FU37" s="539">
        <f t="shared" ref="FU37" si="335">SUM(FU38:FU41)</f>
        <v>205</v>
      </c>
    </row>
    <row r="38" spans="2:179" outlineLevel="1">
      <c r="B38" s="546" t="str">
        <f>names!$A778</f>
        <v xml:space="preserve">  - CANWIL</v>
      </c>
      <c r="C38" s="541">
        <v>107</v>
      </c>
      <c r="D38" s="541" t="s">
        <v>249</v>
      </c>
      <c r="E38" s="541" t="s">
        <v>249</v>
      </c>
      <c r="F38" s="541" t="s">
        <v>249</v>
      </c>
      <c r="G38" s="541">
        <v>107</v>
      </c>
      <c r="H38" s="541">
        <v>43</v>
      </c>
      <c r="I38" s="541" t="s">
        <v>249</v>
      </c>
      <c r="J38" s="541" t="s">
        <v>249</v>
      </c>
      <c r="K38" s="541" t="s">
        <v>249</v>
      </c>
      <c r="L38" s="541">
        <v>43</v>
      </c>
      <c r="M38" s="541">
        <v>83</v>
      </c>
      <c r="N38" s="541" t="s">
        <v>249</v>
      </c>
      <c r="O38" s="541" t="s">
        <v>249</v>
      </c>
      <c r="P38" s="541" t="s">
        <v>249</v>
      </c>
      <c r="Q38" s="541">
        <v>83</v>
      </c>
      <c r="R38" s="541">
        <v>92</v>
      </c>
      <c r="S38" s="541" t="s">
        <v>249</v>
      </c>
      <c r="T38" s="541" t="s">
        <v>249</v>
      </c>
      <c r="U38" s="541" t="s">
        <v>249</v>
      </c>
      <c r="V38" s="541">
        <v>93</v>
      </c>
      <c r="W38" s="552">
        <f>SUM(C38,H38,M38,R38)</f>
        <v>325</v>
      </c>
      <c r="X38" s="541" t="s">
        <v>249</v>
      </c>
      <c r="Y38" s="541" t="s">
        <v>249</v>
      </c>
      <c r="Z38" s="541" t="s">
        <v>249</v>
      </c>
      <c r="AA38" s="541">
        <f t="shared" ref="Y38:AA40" si="336">SUM(G38,L38,Q38,V38)</f>
        <v>326</v>
      </c>
      <c r="AB38" s="541">
        <v>83</v>
      </c>
      <c r="AC38" s="541" t="s">
        <v>249</v>
      </c>
      <c r="AD38" s="541" t="s">
        <v>249</v>
      </c>
      <c r="AE38" s="541" t="s">
        <v>249</v>
      </c>
      <c r="AF38" s="541">
        <v>84</v>
      </c>
      <c r="AG38" s="541">
        <v>69</v>
      </c>
      <c r="AH38" s="541" t="s">
        <v>249</v>
      </c>
      <c r="AI38" s="541" t="s">
        <v>249</v>
      </c>
      <c r="AJ38" s="541" t="s">
        <v>249</v>
      </c>
      <c r="AK38" s="541">
        <v>69</v>
      </c>
      <c r="AL38" s="541">
        <v>103</v>
      </c>
      <c r="AM38" s="541" t="s">
        <v>249</v>
      </c>
      <c r="AN38" s="541" t="s">
        <v>249</v>
      </c>
      <c r="AO38" s="541" t="s">
        <v>249</v>
      </c>
      <c r="AP38" s="541">
        <v>103</v>
      </c>
      <c r="AQ38" s="541">
        <v>93</v>
      </c>
      <c r="AR38" s="541" t="s">
        <v>249</v>
      </c>
      <c r="AS38" s="541" t="s">
        <v>249</v>
      </c>
      <c r="AT38" s="541" t="s">
        <v>249</v>
      </c>
      <c r="AU38" s="541">
        <v>93</v>
      </c>
      <c r="AV38" s="552">
        <f>SUM(AB38,AG38,AL38,AQ38)</f>
        <v>348</v>
      </c>
      <c r="AW38" s="541" t="s">
        <v>249</v>
      </c>
      <c r="AX38" s="541" t="s">
        <v>249</v>
      </c>
      <c r="AY38" s="541" t="s">
        <v>249</v>
      </c>
      <c r="AZ38" s="541">
        <f t="shared" ref="AZ38" si="337">SUM(AF38,AK38,AP38,AU38)</f>
        <v>349</v>
      </c>
      <c r="BA38" s="541">
        <v>107</v>
      </c>
      <c r="BB38" s="541" t="s">
        <v>249</v>
      </c>
      <c r="BC38" s="541" t="s">
        <v>249</v>
      </c>
      <c r="BD38" s="541" t="s">
        <v>249</v>
      </c>
      <c r="BE38" s="541">
        <v>107</v>
      </c>
      <c r="BF38" s="541">
        <v>80</v>
      </c>
      <c r="BG38" s="541" t="s">
        <v>249</v>
      </c>
      <c r="BH38" s="541" t="s">
        <v>249</v>
      </c>
      <c r="BI38" s="541" t="s">
        <v>249</v>
      </c>
      <c r="BJ38" s="541">
        <v>80</v>
      </c>
      <c r="BK38" s="541">
        <v>117</v>
      </c>
      <c r="BL38" s="541" t="s">
        <v>249</v>
      </c>
      <c r="BM38" s="541" t="s">
        <v>249</v>
      </c>
      <c r="BN38" s="541" t="s">
        <v>249</v>
      </c>
      <c r="BO38" s="541">
        <v>117</v>
      </c>
      <c r="BP38" s="541">
        <v>97</v>
      </c>
      <c r="BQ38" s="541" t="s">
        <v>249</v>
      </c>
      <c r="BR38" s="541" t="s">
        <v>249</v>
      </c>
      <c r="BS38" s="541" t="s">
        <v>249</v>
      </c>
      <c r="BT38" s="541">
        <v>97</v>
      </c>
      <c r="BU38" s="552">
        <f>SUM(BA38,BF38,BK38,BP38)</f>
        <v>401</v>
      </c>
      <c r="BV38" s="541" t="s">
        <v>249</v>
      </c>
      <c r="BW38" s="541" t="s">
        <v>249</v>
      </c>
      <c r="BX38" s="541" t="s">
        <v>249</v>
      </c>
      <c r="BY38" s="541">
        <f t="shared" ref="BY38" si="338">SUM(BE38,BJ38,BO38,BT38)</f>
        <v>401</v>
      </c>
      <c r="BZ38" s="541">
        <v>67</v>
      </c>
      <c r="CA38" s="541" t="s">
        <v>249</v>
      </c>
      <c r="CB38" s="541" t="s">
        <v>249</v>
      </c>
      <c r="CC38" s="541" t="s">
        <v>249</v>
      </c>
      <c r="CD38" s="541">
        <v>67</v>
      </c>
      <c r="CE38" s="541">
        <v>97</v>
      </c>
      <c r="CF38" s="541" t="s">
        <v>249</v>
      </c>
      <c r="CG38" s="541" t="s">
        <v>249</v>
      </c>
      <c r="CH38" s="541" t="s">
        <v>249</v>
      </c>
      <c r="CI38" s="541">
        <v>97</v>
      </c>
      <c r="CJ38" s="541">
        <v>102</v>
      </c>
      <c r="CK38" s="541" t="s">
        <v>249</v>
      </c>
      <c r="CL38" s="541" t="s">
        <v>249</v>
      </c>
      <c r="CM38" s="541" t="s">
        <v>249</v>
      </c>
      <c r="CN38" s="541">
        <v>102</v>
      </c>
      <c r="CO38" s="541">
        <v>49</v>
      </c>
      <c r="CP38" s="541" t="s">
        <v>249</v>
      </c>
      <c r="CQ38" s="541" t="s">
        <v>249</v>
      </c>
      <c r="CR38" s="541" t="s">
        <v>249</v>
      </c>
      <c r="CS38" s="541">
        <v>49</v>
      </c>
      <c r="CT38" s="552">
        <f>SUM(BZ38,CE38,CJ38,CO38)</f>
        <v>315</v>
      </c>
      <c r="CU38" s="541" t="s">
        <v>249</v>
      </c>
      <c r="CV38" s="541" t="s">
        <v>249</v>
      </c>
      <c r="CW38" s="541" t="s">
        <v>249</v>
      </c>
      <c r="CX38" s="541">
        <f t="shared" ref="CX38" si="339">SUM(CD38,CI38,CN38,CS38)</f>
        <v>315</v>
      </c>
      <c r="CY38" s="541">
        <v>104</v>
      </c>
      <c r="CZ38" s="541" t="s">
        <v>249</v>
      </c>
      <c r="DA38" s="541" t="s">
        <v>249</v>
      </c>
      <c r="DB38" s="541" t="s">
        <v>249</v>
      </c>
      <c r="DC38" s="541">
        <v>104</v>
      </c>
      <c r="DD38" s="541">
        <v>69</v>
      </c>
      <c r="DE38" s="541" t="s">
        <v>249</v>
      </c>
      <c r="DF38" s="541" t="s">
        <v>249</v>
      </c>
      <c r="DG38" s="541" t="s">
        <v>249</v>
      </c>
      <c r="DH38" s="541">
        <v>69</v>
      </c>
      <c r="DI38" s="541">
        <v>83</v>
      </c>
      <c r="DJ38" s="541" t="s">
        <v>249</v>
      </c>
      <c r="DK38" s="541" t="s">
        <v>249</v>
      </c>
      <c r="DL38" s="541" t="s">
        <v>249</v>
      </c>
      <c r="DM38" s="541">
        <v>83</v>
      </c>
      <c r="DN38" s="541">
        <v>116</v>
      </c>
      <c r="DO38" s="541" t="s">
        <v>249</v>
      </c>
      <c r="DP38" s="541" t="s">
        <v>249</v>
      </c>
      <c r="DQ38" s="541" t="s">
        <v>249</v>
      </c>
      <c r="DR38" s="541">
        <v>116</v>
      </c>
      <c r="DS38" s="552">
        <f>SUM(CY38,DD38,DI38,DN38)</f>
        <v>372</v>
      </c>
      <c r="DT38" s="541" t="s">
        <v>249</v>
      </c>
      <c r="DU38" s="541" t="s">
        <v>249</v>
      </c>
      <c r="DV38" s="541" t="s">
        <v>249</v>
      </c>
      <c r="DW38" s="541">
        <f t="shared" ref="DW38" si="340">SUM(DC38,DH38,DM38,DR38)</f>
        <v>372</v>
      </c>
      <c r="DX38" s="541">
        <v>102</v>
      </c>
      <c r="DY38" s="541" t="s">
        <v>249</v>
      </c>
      <c r="DZ38" s="541" t="s">
        <v>249</v>
      </c>
      <c r="EA38" s="541" t="s">
        <v>249</v>
      </c>
      <c r="EB38" s="541">
        <v>102</v>
      </c>
      <c r="EC38" s="541">
        <v>100</v>
      </c>
      <c r="ED38" s="541" t="s">
        <v>249</v>
      </c>
      <c r="EE38" s="541" t="s">
        <v>249</v>
      </c>
      <c r="EF38" s="541" t="s">
        <v>249</v>
      </c>
      <c r="EG38" s="541">
        <v>100</v>
      </c>
      <c r="EH38" s="541">
        <v>97</v>
      </c>
      <c r="EI38" s="541" t="s">
        <v>249</v>
      </c>
      <c r="EJ38" s="541" t="s">
        <v>249</v>
      </c>
      <c r="EK38" s="541" t="s">
        <v>249</v>
      </c>
      <c r="EL38" s="541">
        <v>97</v>
      </c>
      <c r="EM38" s="541">
        <v>106</v>
      </c>
      <c r="EN38" s="541" t="s">
        <v>249</v>
      </c>
      <c r="EO38" s="541" t="s">
        <v>249</v>
      </c>
      <c r="EP38" s="541" t="s">
        <v>249</v>
      </c>
      <c r="EQ38" s="541">
        <v>106</v>
      </c>
      <c r="ER38" s="552">
        <f>SUM(DX38,EC38,EH38,EM38)</f>
        <v>405</v>
      </c>
      <c r="ES38" s="541" t="s">
        <v>249</v>
      </c>
      <c r="ET38" s="541" t="s">
        <v>249</v>
      </c>
      <c r="EU38" s="541" t="s">
        <v>249</v>
      </c>
      <c r="EV38" s="541">
        <f t="shared" ref="EV38" si="341">SUM(EB38,EG38,EL38,EQ38)</f>
        <v>405</v>
      </c>
      <c r="EW38" s="541">
        <v>92</v>
      </c>
      <c r="EX38" s="541" t="s">
        <v>249</v>
      </c>
      <c r="EY38" s="541" t="s">
        <v>249</v>
      </c>
      <c r="EZ38" s="541" t="s">
        <v>249</v>
      </c>
      <c r="FA38" s="541">
        <v>92</v>
      </c>
      <c r="FB38" s="541"/>
      <c r="FC38" s="541"/>
      <c r="FD38" s="541"/>
      <c r="FE38" s="541"/>
      <c r="FF38" s="541"/>
      <c r="FG38" s="541"/>
      <c r="FH38" s="541"/>
      <c r="FI38" s="541"/>
      <c r="FJ38" s="541"/>
      <c r="FK38" s="541"/>
      <c r="FL38" s="541"/>
      <c r="FM38" s="541"/>
      <c r="FN38" s="541"/>
      <c r="FO38" s="541"/>
      <c r="FP38" s="541"/>
      <c r="FQ38" s="552">
        <f>SUM(EW38,FB38,FG38,FL38)</f>
        <v>92</v>
      </c>
      <c r="FR38" s="541" t="s">
        <v>249</v>
      </c>
      <c r="FS38" s="541" t="s">
        <v>249</v>
      </c>
      <c r="FT38" s="541" t="s">
        <v>249</v>
      </c>
      <c r="FU38" s="541">
        <f t="shared" ref="FU38" si="342">SUM(FA38,FF38,FK38,FP38)</f>
        <v>92</v>
      </c>
    </row>
    <row r="39" spans="2:179" outlineLevel="1">
      <c r="B39" s="546" t="str">
        <f>names!$A779</f>
        <v xml:space="preserve">  - siarczan amonu</v>
      </c>
      <c r="C39" s="541">
        <v>50</v>
      </c>
      <c r="D39" s="541" t="s">
        <v>249</v>
      </c>
      <c r="E39" s="541">
        <v>50</v>
      </c>
      <c r="F39" s="541" t="s">
        <v>249</v>
      </c>
      <c r="G39" s="541" t="s">
        <v>249</v>
      </c>
      <c r="H39" s="541">
        <v>38</v>
      </c>
      <c r="I39" s="541" t="s">
        <v>249</v>
      </c>
      <c r="J39" s="541">
        <v>38</v>
      </c>
      <c r="K39" s="541" t="s">
        <v>249</v>
      </c>
      <c r="L39" s="541" t="s">
        <v>249</v>
      </c>
      <c r="M39" s="541">
        <v>44</v>
      </c>
      <c r="N39" s="541" t="s">
        <v>249</v>
      </c>
      <c r="O39" s="541">
        <v>44</v>
      </c>
      <c r="P39" s="541" t="s">
        <v>249</v>
      </c>
      <c r="Q39" s="541" t="s">
        <v>249</v>
      </c>
      <c r="R39" s="541">
        <v>41</v>
      </c>
      <c r="S39" s="541" t="s">
        <v>249</v>
      </c>
      <c r="T39" s="541">
        <v>41</v>
      </c>
      <c r="U39" s="541" t="s">
        <v>249</v>
      </c>
      <c r="V39" s="541" t="s">
        <v>249</v>
      </c>
      <c r="W39" s="552">
        <f>SUM(C39,H39,M39,R39)</f>
        <v>173</v>
      </c>
      <c r="X39" s="541" t="s">
        <v>249</v>
      </c>
      <c r="Y39" s="541">
        <f t="shared" si="336"/>
        <v>173</v>
      </c>
      <c r="Z39" s="541" t="s">
        <v>249</v>
      </c>
      <c r="AA39" s="541" t="s">
        <v>249</v>
      </c>
      <c r="AB39" s="541">
        <v>49</v>
      </c>
      <c r="AC39" s="541" t="s">
        <v>249</v>
      </c>
      <c r="AD39" s="541">
        <v>49</v>
      </c>
      <c r="AE39" s="541" t="s">
        <v>249</v>
      </c>
      <c r="AF39" s="541" t="s">
        <v>249</v>
      </c>
      <c r="AG39" s="541">
        <v>48</v>
      </c>
      <c r="AH39" s="541" t="s">
        <v>249</v>
      </c>
      <c r="AI39" s="541">
        <v>48</v>
      </c>
      <c r="AJ39" s="541" t="s">
        <v>249</v>
      </c>
      <c r="AK39" s="541" t="s">
        <v>249</v>
      </c>
      <c r="AL39" s="541">
        <v>28</v>
      </c>
      <c r="AM39" s="541" t="s">
        <v>249</v>
      </c>
      <c r="AN39" s="541">
        <v>29</v>
      </c>
      <c r="AO39" s="541" t="s">
        <v>249</v>
      </c>
      <c r="AP39" s="541" t="s">
        <v>249</v>
      </c>
      <c r="AQ39" s="541">
        <v>51</v>
      </c>
      <c r="AR39" s="541" t="s">
        <v>249</v>
      </c>
      <c r="AS39" s="541">
        <v>51</v>
      </c>
      <c r="AT39" s="541" t="s">
        <v>249</v>
      </c>
      <c r="AU39" s="541" t="s">
        <v>249</v>
      </c>
      <c r="AV39" s="552">
        <f>SUM(AB39,AG39,AL39,AQ39)</f>
        <v>176</v>
      </c>
      <c r="AW39" s="541" t="s">
        <v>249</v>
      </c>
      <c r="AX39" s="541">
        <f t="shared" ref="AX39" si="343">SUM(AD39,AI39,AN39,AS39)</f>
        <v>177</v>
      </c>
      <c r="AY39" s="541" t="s">
        <v>249</v>
      </c>
      <c r="AZ39" s="541" t="s">
        <v>249</v>
      </c>
      <c r="BA39" s="541">
        <v>54</v>
      </c>
      <c r="BB39" s="541" t="s">
        <v>249</v>
      </c>
      <c r="BC39" s="541">
        <v>54</v>
      </c>
      <c r="BD39" s="541" t="s">
        <v>249</v>
      </c>
      <c r="BE39" s="541" t="s">
        <v>249</v>
      </c>
      <c r="BF39" s="541">
        <v>51</v>
      </c>
      <c r="BG39" s="541" t="s">
        <v>249</v>
      </c>
      <c r="BH39" s="541">
        <v>51</v>
      </c>
      <c r="BI39" s="541" t="s">
        <v>249</v>
      </c>
      <c r="BJ39" s="541" t="s">
        <v>249</v>
      </c>
      <c r="BK39" s="541">
        <v>22</v>
      </c>
      <c r="BL39" s="541" t="s">
        <v>249</v>
      </c>
      <c r="BM39" s="541">
        <v>22</v>
      </c>
      <c r="BN39" s="541" t="s">
        <v>249</v>
      </c>
      <c r="BO39" s="541" t="s">
        <v>249</v>
      </c>
      <c r="BP39" s="541">
        <v>39</v>
      </c>
      <c r="BQ39" s="541" t="s">
        <v>249</v>
      </c>
      <c r="BR39" s="541">
        <v>50</v>
      </c>
      <c r="BS39" s="541" t="s">
        <v>249</v>
      </c>
      <c r="BT39" s="541" t="s">
        <v>249</v>
      </c>
      <c r="BU39" s="552">
        <f>SUM(BA39,BF39,BK39,BP39)</f>
        <v>166</v>
      </c>
      <c r="BV39" s="541" t="s">
        <v>249</v>
      </c>
      <c r="BW39" s="541">
        <f t="shared" ref="BW39" si="344">SUM(BC39,BH39,BM39,BR39)</f>
        <v>177</v>
      </c>
      <c r="BX39" s="541" t="s">
        <v>249</v>
      </c>
      <c r="BY39" s="541" t="s">
        <v>249</v>
      </c>
      <c r="BZ39" s="541">
        <v>52</v>
      </c>
      <c r="CA39" s="541" t="s">
        <v>249</v>
      </c>
      <c r="CB39" s="541">
        <v>52</v>
      </c>
      <c r="CC39" s="541" t="s">
        <v>249</v>
      </c>
      <c r="CD39" s="541" t="s">
        <v>249</v>
      </c>
      <c r="CE39" s="541">
        <v>49</v>
      </c>
      <c r="CF39" s="541" t="s">
        <v>249</v>
      </c>
      <c r="CG39" s="541">
        <v>49</v>
      </c>
      <c r="CH39" s="541" t="s">
        <v>249</v>
      </c>
      <c r="CI39" s="541" t="s">
        <v>249</v>
      </c>
      <c r="CJ39" s="541">
        <v>25</v>
      </c>
      <c r="CK39" s="541" t="s">
        <v>249</v>
      </c>
      <c r="CL39" s="541">
        <v>25</v>
      </c>
      <c r="CM39" s="541" t="s">
        <v>249</v>
      </c>
      <c r="CN39" s="541" t="s">
        <v>249</v>
      </c>
      <c r="CO39" s="541">
        <v>37</v>
      </c>
      <c r="CP39" s="541" t="s">
        <v>249</v>
      </c>
      <c r="CQ39" s="541">
        <v>37</v>
      </c>
      <c r="CR39" s="541" t="s">
        <v>249</v>
      </c>
      <c r="CS39" s="541" t="s">
        <v>249</v>
      </c>
      <c r="CT39" s="552">
        <f>SUM(BZ39,CE39,CJ39,CO39)</f>
        <v>163</v>
      </c>
      <c r="CU39" s="541" t="s">
        <v>249</v>
      </c>
      <c r="CV39" s="541">
        <f t="shared" ref="CV39" si="345">SUM(CB39,CG39,CL39,CQ39)</f>
        <v>163</v>
      </c>
      <c r="CW39" s="541" t="s">
        <v>249</v>
      </c>
      <c r="CX39" s="541" t="s">
        <v>249</v>
      </c>
      <c r="CY39" s="541">
        <v>22</v>
      </c>
      <c r="CZ39" s="541" t="s">
        <v>249</v>
      </c>
      <c r="DA39" s="541">
        <v>22</v>
      </c>
      <c r="DB39" s="541" t="s">
        <v>249</v>
      </c>
      <c r="DC39" s="541" t="s">
        <v>249</v>
      </c>
      <c r="DD39" s="541">
        <v>32</v>
      </c>
      <c r="DE39" s="541" t="s">
        <v>249</v>
      </c>
      <c r="DF39" s="541">
        <v>32</v>
      </c>
      <c r="DG39" s="541" t="s">
        <v>249</v>
      </c>
      <c r="DH39" s="541" t="s">
        <v>249</v>
      </c>
      <c r="DI39" s="541">
        <v>18</v>
      </c>
      <c r="DJ39" s="541" t="s">
        <v>249</v>
      </c>
      <c r="DK39" s="541">
        <v>18</v>
      </c>
      <c r="DL39" s="541" t="s">
        <v>249</v>
      </c>
      <c r="DM39" s="541" t="s">
        <v>249</v>
      </c>
      <c r="DN39" s="541">
        <v>32</v>
      </c>
      <c r="DO39" s="541" t="s">
        <v>249</v>
      </c>
      <c r="DP39" s="541">
        <v>32</v>
      </c>
      <c r="DQ39" s="541" t="s">
        <v>249</v>
      </c>
      <c r="DR39" s="541" t="s">
        <v>249</v>
      </c>
      <c r="DS39" s="552">
        <f>SUM(CY39,DD39,DI39,DN39)</f>
        <v>104</v>
      </c>
      <c r="DT39" s="541" t="s">
        <v>249</v>
      </c>
      <c r="DU39" s="541">
        <f t="shared" ref="DU39" si="346">SUM(DA39,DF39,DK39,DP39)</f>
        <v>104</v>
      </c>
      <c r="DV39" s="541" t="s">
        <v>249</v>
      </c>
      <c r="DW39" s="541" t="s">
        <v>249</v>
      </c>
      <c r="DX39" s="541">
        <v>34</v>
      </c>
      <c r="DY39" s="541" t="s">
        <v>249</v>
      </c>
      <c r="DZ39" s="541">
        <v>34</v>
      </c>
      <c r="EA39" s="541" t="s">
        <v>249</v>
      </c>
      <c r="EB39" s="541" t="s">
        <v>249</v>
      </c>
      <c r="EC39" s="541">
        <v>34</v>
      </c>
      <c r="ED39" s="541" t="s">
        <v>249</v>
      </c>
      <c r="EE39" s="541">
        <v>34</v>
      </c>
      <c r="EF39" s="541" t="s">
        <v>249</v>
      </c>
      <c r="EG39" s="541" t="s">
        <v>249</v>
      </c>
      <c r="EH39" s="541">
        <v>5</v>
      </c>
      <c r="EI39" s="541" t="s">
        <v>249</v>
      </c>
      <c r="EJ39" s="541">
        <v>5</v>
      </c>
      <c r="EK39" s="541" t="s">
        <v>249</v>
      </c>
      <c r="EL39" s="541" t="s">
        <v>249</v>
      </c>
      <c r="EM39" s="541">
        <v>10</v>
      </c>
      <c r="EN39" s="541" t="s">
        <v>249</v>
      </c>
      <c r="EO39" s="541">
        <v>10</v>
      </c>
      <c r="EP39" s="541" t="s">
        <v>249</v>
      </c>
      <c r="EQ39" s="541" t="s">
        <v>249</v>
      </c>
      <c r="ER39" s="552">
        <f>SUM(DX39,EC39,EH39,EM39)</f>
        <v>83</v>
      </c>
      <c r="ES39" s="541" t="s">
        <v>249</v>
      </c>
      <c r="ET39" s="541">
        <f t="shared" ref="ET39" si="347">SUM(DZ39,EE39,EJ39,EO39)</f>
        <v>83</v>
      </c>
      <c r="EU39" s="541" t="s">
        <v>249</v>
      </c>
      <c r="EV39" s="541" t="s">
        <v>249</v>
      </c>
      <c r="EW39" s="541">
        <v>3</v>
      </c>
      <c r="EX39" s="541" t="s">
        <v>249</v>
      </c>
      <c r="EY39" s="541">
        <v>3</v>
      </c>
      <c r="EZ39" s="541" t="s">
        <v>249</v>
      </c>
      <c r="FA39" s="541" t="s">
        <v>249</v>
      </c>
      <c r="FB39" s="541"/>
      <c r="FC39" s="541"/>
      <c r="FD39" s="541"/>
      <c r="FE39" s="541"/>
      <c r="FF39" s="541"/>
      <c r="FG39" s="541"/>
      <c r="FH39" s="541"/>
      <c r="FI39" s="541"/>
      <c r="FJ39" s="541"/>
      <c r="FK39" s="541"/>
      <c r="FL39" s="541"/>
      <c r="FM39" s="541"/>
      <c r="FN39" s="541"/>
      <c r="FO39" s="541"/>
      <c r="FP39" s="541"/>
      <c r="FQ39" s="552">
        <f>SUM(EW39,FB39,FG39,FL39)</f>
        <v>3</v>
      </c>
      <c r="FR39" s="541" t="s">
        <v>249</v>
      </c>
      <c r="FS39" s="541">
        <f t="shared" ref="FS39" si="348">SUM(EY39,FD39,FI39,FN39)</f>
        <v>3</v>
      </c>
      <c r="FT39" s="541" t="s">
        <v>249</v>
      </c>
      <c r="FU39" s="541" t="s">
        <v>249</v>
      </c>
    </row>
    <row r="40" spans="2:179" outlineLevel="1">
      <c r="B40" s="546" t="str">
        <f>names!$A780</f>
        <v xml:space="preserve">  - saletra amonowa</v>
      </c>
      <c r="C40" s="541">
        <v>140</v>
      </c>
      <c r="D40" s="541" t="s">
        <v>249</v>
      </c>
      <c r="E40" s="541" t="s">
        <v>249</v>
      </c>
      <c r="F40" s="541" t="s">
        <v>249</v>
      </c>
      <c r="G40" s="541">
        <v>140</v>
      </c>
      <c r="H40" s="541">
        <v>124</v>
      </c>
      <c r="I40" s="541" t="s">
        <v>249</v>
      </c>
      <c r="J40" s="541" t="s">
        <v>249</v>
      </c>
      <c r="K40" s="541" t="s">
        <v>249</v>
      </c>
      <c r="L40" s="541">
        <v>124</v>
      </c>
      <c r="M40" s="541">
        <v>140</v>
      </c>
      <c r="N40" s="541" t="s">
        <v>249</v>
      </c>
      <c r="O40" s="541" t="s">
        <v>249</v>
      </c>
      <c r="P40" s="541" t="s">
        <v>249</v>
      </c>
      <c r="Q40" s="541">
        <v>140</v>
      </c>
      <c r="R40" s="541">
        <v>157</v>
      </c>
      <c r="S40" s="541" t="s">
        <v>249</v>
      </c>
      <c r="T40" s="541" t="s">
        <v>249</v>
      </c>
      <c r="U40" s="541" t="s">
        <v>249</v>
      </c>
      <c r="V40" s="541">
        <v>157</v>
      </c>
      <c r="W40" s="552">
        <f>SUM(C40,H40,M40,R40)</f>
        <v>561</v>
      </c>
      <c r="X40" s="541" t="s">
        <v>249</v>
      </c>
      <c r="Y40" s="541" t="s">
        <v>249</v>
      </c>
      <c r="Z40" s="541" t="s">
        <v>249</v>
      </c>
      <c r="AA40" s="541">
        <f t="shared" si="336"/>
        <v>561</v>
      </c>
      <c r="AB40" s="541">
        <v>154</v>
      </c>
      <c r="AC40" s="541" t="s">
        <v>249</v>
      </c>
      <c r="AD40" s="541" t="s">
        <v>249</v>
      </c>
      <c r="AE40" s="541" t="s">
        <v>249</v>
      </c>
      <c r="AF40" s="541">
        <v>154</v>
      </c>
      <c r="AG40" s="541">
        <v>142</v>
      </c>
      <c r="AH40" s="541" t="s">
        <v>249</v>
      </c>
      <c r="AI40" s="541" t="s">
        <v>249</v>
      </c>
      <c r="AJ40" s="541" t="s">
        <v>249</v>
      </c>
      <c r="AK40" s="541">
        <v>142</v>
      </c>
      <c r="AL40" s="541">
        <v>150</v>
      </c>
      <c r="AM40" s="541" t="s">
        <v>249</v>
      </c>
      <c r="AN40" s="541" t="s">
        <v>249</v>
      </c>
      <c r="AO40" s="541" t="s">
        <v>249</v>
      </c>
      <c r="AP40" s="541">
        <v>150</v>
      </c>
      <c r="AQ40" s="541">
        <v>134</v>
      </c>
      <c r="AR40" s="541" t="s">
        <v>249</v>
      </c>
      <c r="AS40" s="541" t="s">
        <v>249</v>
      </c>
      <c r="AT40" s="541" t="s">
        <v>249</v>
      </c>
      <c r="AU40" s="541">
        <v>133</v>
      </c>
      <c r="AV40" s="552">
        <f>SUM(AB40,AG40,AL40,AQ40)</f>
        <v>580</v>
      </c>
      <c r="AW40" s="541" t="s">
        <v>249</v>
      </c>
      <c r="AX40" s="541" t="s">
        <v>249</v>
      </c>
      <c r="AY40" s="541" t="s">
        <v>249</v>
      </c>
      <c r="AZ40" s="541">
        <f t="shared" ref="AZ40" si="349">SUM(AF40,AK40,AP40,AU40)</f>
        <v>579</v>
      </c>
      <c r="BA40" s="541">
        <v>145</v>
      </c>
      <c r="BB40" s="541" t="s">
        <v>249</v>
      </c>
      <c r="BC40" s="541" t="s">
        <v>249</v>
      </c>
      <c r="BD40" s="541" t="s">
        <v>249</v>
      </c>
      <c r="BE40" s="541">
        <v>145</v>
      </c>
      <c r="BF40" s="541">
        <v>137</v>
      </c>
      <c r="BG40" s="541" t="s">
        <v>249</v>
      </c>
      <c r="BH40" s="541" t="s">
        <v>249</v>
      </c>
      <c r="BI40" s="541" t="s">
        <v>249</v>
      </c>
      <c r="BJ40" s="541">
        <v>137</v>
      </c>
      <c r="BK40" s="541">
        <v>144</v>
      </c>
      <c r="BL40" s="541" t="s">
        <v>249</v>
      </c>
      <c r="BM40" s="541" t="s">
        <v>249</v>
      </c>
      <c r="BN40" s="541" t="s">
        <v>249</v>
      </c>
      <c r="BO40" s="541">
        <v>144</v>
      </c>
      <c r="BP40" s="541">
        <v>128</v>
      </c>
      <c r="BQ40" s="541" t="s">
        <v>249</v>
      </c>
      <c r="BR40" s="541" t="s">
        <v>249</v>
      </c>
      <c r="BS40" s="541" t="s">
        <v>249</v>
      </c>
      <c r="BT40" s="541">
        <v>128</v>
      </c>
      <c r="BU40" s="552">
        <f>SUM(BA40,BF40,BK40,BP40)</f>
        <v>554</v>
      </c>
      <c r="BV40" s="541" t="s">
        <v>249</v>
      </c>
      <c r="BW40" s="541" t="s">
        <v>249</v>
      </c>
      <c r="BX40" s="541" t="s">
        <v>249</v>
      </c>
      <c r="BY40" s="541">
        <f t="shared" ref="BY40" si="350">SUM(BE40,BJ40,BO40,BT40)</f>
        <v>554</v>
      </c>
      <c r="BZ40" s="541">
        <v>109</v>
      </c>
      <c r="CA40" s="541" t="s">
        <v>249</v>
      </c>
      <c r="CB40" s="541" t="s">
        <v>249</v>
      </c>
      <c r="CC40" s="541" t="s">
        <v>249</v>
      </c>
      <c r="CD40" s="541">
        <v>109</v>
      </c>
      <c r="CE40" s="541">
        <v>147</v>
      </c>
      <c r="CF40" s="541" t="s">
        <v>249</v>
      </c>
      <c r="CG40" s="541" t="s">
        <v>249</v>
      </c>
      <c r="CH40" s="541" t="s">
        <v>249</v>
      </c>
      <c r="CI40" s="541">
        <v>147</v>
      </c>
      <c r="CJ40" s="541">
        <v>67</v>
      </c>
      <c r="CK40" s="541" t="s">
        <v>249</v>
      </c>
      <c r="CL40" s="541" t="s">
        <v>249</v>
      </c>
      <c r="CM40" s="541" t="s">
        <v>249</v>
      </c>
      <c r="CN40" s="541">
        <v>67</v>
      </c>
      <c r="CO40" s="541">
        <v>99</v>
      </c>
      <c r="CP40" s="541" t="s">
        <v>249</v>
      </c>
      <c r="CQ40" s="541" t="s">
        <v>249</v>
      </c>
      <c r="CR40" s="541" t="s">
        <v>249</v>
      </c>
      <c r="CS40" s="541">
        <v>99</v>
      </c>
      <c r="CT40" s="552">
        <f>SUM(BZ40,CE40,CJ40,CO40)</f>
        <v>422</v>
      </c>
      <c r="CU40" s="541" t="s">
        <v>249</v>
      </c>
      <c r="CV40" s="541" t="s">
        <v>249</v>
      </c>
      <c r="CW40" s="541" t="s">
        <v>249</v>
      </c>
      <c r="CX40" s="541">
        <f t="shared" ref="CX40" si="351">SUM(CD40,CI40,CN40,CS40)</f>
        <v>422</v>
      </c>
      <c r="CY40" s="541">
        <v>152</v>
      </c>
      <c r="CZ40" s="541" t="s">
        <v>249</v>
      </c>
      <c r="DA40" s="541" t="s">
        <v>249</v>
      </c>
      <c r="DB40" s="541" t="s">
        <v>249</v>
      </c>
      <c r="DC40" s="541">
        <v>152</v>
      </c>
      <c r="DD40" s="541">
        <v>128</v>
      </c>
      <c r="DE40" s="541" t="s">
        <v>249</v>
      </c>
      <c r="DF40" s="541" t="s">
        <v>249</v>
      </c>
      <c r="DG40" s="541" t="s">
        <v>249</v>
      </c>
      <c r="DH40" s="541">
        <v>128</v>
      </c>
      <c r="DI40" s="541">
        <v>106</v>
      </c>
      <c r="DJ40" s="541" t="s">
        <v>249</v>
      </c>
      <c r="DK40" s="541" t="s">
        <v>249</v>
      </c>
      <c r="DL40" s="541" t="s">
        <v>249</v>
      </c>
      <c r="DM40" s="541">
        <v>106</v>
      </c>
      <c r="DN40" s="541">
        <v>145</v>
      </c>
      <c r="DO40" s="541" t="s">
        <v>249</v>
      </c>
      <c r="DP40" s="541" t="s">
        <v>249</v>
      </c>
      <c r="DQ40" s="541" t="s">
        <v>249</v>
      </c>
      <c r="DR40" s="541">
        <v>145</v>
      </c>
      <c r="DS40" s="552">
        <f>SUM(CY40,DD40,DI40,DN40)</f>
        <v>531</v>
      </c>
      <c r="DT40" s="541" t="s">
        <v>249</v>
      </c>
      <c r="DU40" s="541" t="s">
        <v>249</v>
      </c>
      <c r="DV40" s="541" t="s">
        <v>249</v>
      </c>
      <c r="DW40" s="541">
        <f t="shared" ref="DW40" si="352">SUM(DC40,DH40,DM40,DR40)</f>
        <v>531</v>
      </c>
      <c r="DX40" s="541">
        <v>150</v>
      </c>
      <c r="DY40" s="541" t="s">
        <v>249</v>
      </c>
      <c r="DZ40" s="541" t="s">
        <v>249</v>
      </c>
      <c r="EA40" s="541" t="s">
        <v>249</v>
      </c>
      <c r="EB40" s="541">
        <v>150</v>
      </c>
      <c r="EC40" s="541">
        <v>147</v>
      </c>
      <c r="ED40" s="541" t="s">
        <v>249</v>
      </c>
      <c r="EE40" s="541" t="s">
        <v>249</v>
      </c>
      <c r="EF40" s="541" t="s">
        <v>249</v>
      </c>
      <c r="EG40" s="541">
        <v>147</v>
      </c>
      <c r="EH40" s="541">
        <v>164</v>
      </c>
      <c r="EI40" s="541" t="s">
        <v>249</v>
      </c>
      <c r="EJ40" s="541" t="s">
        <v>249</v>
      </c>
      <c r="EK40" s="541" t="s">
        <v>249</v>
      </c>
      <c r="EL40" s="541">
        <v>165</v>
      </c>
      <c r="EM40" s="541">
        <v>142</v>
      </c>
      <c r="EN40" s="541" t="s">
        <v>249</v>
      </c>
      <c r="EO40" s="541" t="s">
        <v>249</v>
      </c>
      <c r="EP40" s="541" t="s">
        <v>249</v>
      </c>
      <c r="EQ40" s="541">
        <v>142</v>
      </c>
      <c r="ER40" s="552">
        <f>SUM(DX40,EC40,EH40,EM40)</f>
        <v>603</v>
      </c>
      <c r="ES40" s="541" t="s">
        <v>249</v>
      </c>
      <c r="ET40" s="541" t="s">
        <v>249</v>
      </c>
      <c r="EU40" s="541" t="s">
        <v>249</v>
      </c>
      <c r="EV40" s="541">
        <f t="shared" ref="EV40" si="353">SUM(EB40,EG40,EL40,EQ40)</f>
        <v>604</v>
      </c>
      <c r="EW40" s="541">
        <v>113</v>
      </c>
      <c r="EX40" s="541" t="s">
        <v>249</v>
      </c>
      <c r="EY40" s="541" t="s">
        <v>249</v>
      </c>
      <c r="EZ40" s="541" t="s">
        <v>249</v>
      </c>
      <c r="FA40" s="541">
        <v>113</v>
      </c>
      <c r="FB40" s="541"/>
      <c r="FC40" s="541"/>
      <c r="FD40" s="541"/>
      <c r="FE40" s="541"/>
      <c r="FF40" s="541"/>
      <c r="FG40" s="541"/>
      <c r="FH40" s="541"/>
      <c r="FI40" s="541"/>
      <c r="FJ40" s="541"/>
      <c r="FK40" s="541"/>
      <c r="FL40" s="541"/>
      <c r="FM40" s="541"/>
      <c r="FN40" s="541"/>
      <c r="FO40" s="541"/>
      <c r="FP40" s="541"/>
      <c r="FQ40" s="552">
        <f>SUM(EW40,FB40,FG40,FL40)</f>
        <v>113</v>
      </c>
      <c r="FR40" s="541" t="s">
        <v>249</v>
      </c>
      <c r="FS40" s="541" t="s">
        <v>249</v>
      </c>
      <c r="FT40" s="541" t="s">
        <v>249</v>
      </c>
      <c r="FU40" s="541">
        <f t="shared" ref="FU40" si="354">SUM(FA40,FF40,FK40,FP40)</f>
        <v>113</v>
      </c>
    </row>
    <row r="41" spans="2:179" outlineLevel="1">
      <c r="B41" s="547" t="str">
        <f>names!$A781</f>
        <v xml:space="preserve">  - pozostałe nawozy</v>
      </c>
      <c r="C41" s="544" t="s">
        <v>249</v>
      </c>
      <c r="D41" s="544" t="s">
        <v>249</v>
      </c>
      <c r="E41" s="544" t="s">
        <v>249</v>
      </c>
      <c r="F41" s="544" t="s">
        <v>249</v>
      </c>
      <c r="G41" s="544" t="s">
        <v>249</v>
      </c>
      <c r="H41" s="544" t="s">
        <v>249</v>
      </c>
      <c r="I41" s="544" t="s">
        <v>249</v>
      </c>
      <c r="J41" s="544" t="s">
        <v>249</v>
      </c>
      <c r="K41" s="544" t="s">
        <v>249</v>
      </c>
      <c r="L41" s="544" t="s">
        <v>249</v>
      </c>
      <c r="M41" s="544" t="s">
        <v>249</v>
      </c>
      <c r="N41" s="544" t="s">
        <v>249</v>
      </c>
      <c r="O41" s="544" t="s">
        <v>249</v>
      </c>
      <c r="P41" s="544" t="s">
        <v>249</v>
      </c>
      <c r="Q41" s="544" t="s">
        <v>249</v>
      </c>
      <c r="R41" s="544" t="s">
        <v>249</v>
      </c>
      <c r="S41" s="544" t="s">
        <v>249</v>
      </c>
      <c r="T41" s="544" t="s">
        <v>249</v>
      </c>
      <c r="U41" s="544" t="s">
        <v>249</v>
      </c>
      <c r="V41" s="544" t="s">
        <v>249</v>
      </c>
      <c r="W41" s="555">
        <f>SUM(C41,H41,M41,R41)</f>
        <v>0</v>
      </c>
      <c r="X41" s="544" t="s">
        <v>249</v>
      </c>
      <c r="Y41" s="544" t="s">
        <v>249</v>
      </c>
      <c r="Z41" s="544" t="s">
        <v>249</v>
      </c>
      <c r="AA41" s="544" t="s">
        <v>249</v>
      </c>
      <c r="AB41" s="544" t="s">
        <v>249</v>
      </c>
      <c r="AC41" s="544" t="s">
        <v>249</v>
      </c>
      <c r="AD41" s="544" t="s">
        <v>249</v>
      </c>
      <c r="AE41" s="544" t="s">
        <v>249</v>
      </c>
      <c r="AF41" s="544" t="s">
        <v>249</v>
      </c>
      <c r="AG41" s="544" t="s">
        <v>249</v>
      </c>
      <c r="AH41" s="544" t="s">
        <v>249</v>
      </c>
      <c r="AI41" s="544" t="s">
        <v>249</v>
      </c>
      <c r="AJ41" s="544" t="s">
        <v>249</v>
      </c>
      <c r="AK41" s="544" t="s">
        <v>249</v>
      </c>
      <c r="AL41" s="544" t="s">
        <v>249</v>
      </c>
      <c r="AM41" s="544" t="s">
        <v>249</v>
      </c>
      <c r="AN41" s="544" t="s">
        <v>249</v>
      </c>
      <c r="AO41" s="544" t="s">
        <v>249</v>
      </c>
      <c r="AP41" s="544" t="s">
        <v>249</v>
      </c>
      <c r="AQ41" s="544" t="s">
        <v>249</v>
      </c>
      <c r="AR41" s="544" t="s">
        <v>249</v>
      </c>
      <c r="AS41" s="544" t="s">
        <v>249</v>
      </c>
      <c r="AT41" s="544" t="s">
        <v>249</v>
      </c>
      <c r="AU41" s="544" t="s">
        <v>249</v>
      </c>
      <c r="AV41" s="555" t="s">
        <v>249</v>
      </c>
      <c r="AW41" s="544" t="s">
        <v>249</v>
      </c>
      <c r="AX41" s="544" t="s">
        <v>249</v>
      </c>
      <c r="AY41" s="544" t="s">
        <v>249</v>
      </c>
      <c r="AZ41" s="544" t="s">
        <v>249</v>
      </c>
      <c r="BA41" s="544" t="s">
        <v>249</v>
      </c>
      <c r="BB41" s="544" t="s">
        <v>249</v>
      </c>
      <c r="BC41" s="544" t="s">
        <v>249</v>
      </c>
      <c r="BD41" s="544" t="s">
        <v>249</v>
      </c>
      <c r="BE41" s="544" t="s">
        <v>249</v>
      </c>
      <c r="BF41" s="544" t="s">
        <v>249</v>
      </c>
      <c r="BG41" s="544" t="s">
        <v>249</v>
      </c>
      <c r="BH41" s="544" t="s">
        <v>249</v>
      </c>
      <c r="BI41" s="544" t="s">
        <v>249</v>
      </c>
      <c r="BJ41" s="544" t="s">
        <v>249</v>
      </c>
      <c r="BK41" s="544" t="s">
        <v>249</v>
      </c>
      <c r="BL41" s="544" t="s">
        <v>249</v>
      </c>
      <c r="BM41" s="544" t="s">
        <v>249</v>
      </c>
      <c r="BN41" s="544" t="s">
        <v>249</v>
      </c>
      <c r="BO41" s="544" t="s">
        <v>249</v>
      </c>
      <c r="BP41" s="544" t="s">
        <v>249</v>
      </c>
      <c r="BQ41" s="544" t="s">
        <v>249</v>
      </c>
      <c r="BR41" s="544" t="s">
        <v>249</v>
      </c>
      <c r="BS41" s="544" t="s">
        <v>249</v>
      </c>
      <c r="BT41" s="544" t="s">
        <v>249</v>
      </c>
      <c r="BU41" s="555">
        <f>SUM(BA41,BF41,BK41,BP41)</f>
        <v>0</v>
      </c>
      <c r="BV41" s="544" t="s">
        <v>249</v>
      </c>
      <c r="BW41" s="544" t="s">
        <v>249</v>
      </c>
      <c r="BX41" s="544" t="s">
        <v>249</v>
      </c>
      <c r="BY41" s="544" t="s">
        <v>249</v>
      </c>
      <c r="BZ41" s="544" t="s">
        <v>249</v>
      </c>
      <c r="CA41" s="544" t="s">
        <v>249</v>
      </c>
      <c r="CB41" s="544" t="s">
        <v>249</v>
      </c>
      <c r="CC41" s="544" t="s">
        <v>249</v>
      </c>
      <c r="CD41" s="544" t="s">
        <v>249</v>
      </c>
      <c r="CE41" s="544" t="s">
        <v>249</v>
      </c>
      <c r="CF41" s="544" t="s">
        <v>249</v>
      </c>
      <c r="CG41" s="544" t="s">
        <v>249</v>
      </c>
      <c r="CH41" s="544" t="s">
        <v>249</v>
      </c>
      <c r="CI41" s="544" t="s">
        <v>249</v>
      </c>
      <c r="CJ41" s="544" t="s">
        <v>249</v>
      </c>
      <c r="CK41" s="544" t="s">
        <v>249</v>
      </c>
      <c r="CL41" s="544" t="s">
        <v>249</v>
      </c>
      <c r="CM41" s="544" t="s">
        <v>249</v>
      </c>
      <c r="CN41" s="544" t="s">
        <v>249</v>
      </c>
      <c r="CO41" s="544" t="s">
        <v>249</v>
      </c>
      <c r="CP41" s="544" t="s">
        <v>249</v>
      </c>
      <c r="CQ41" s="544" t="s">
        <v>249</v>
      </c>
      <c r="CR41" s="544" t="s">
        <v>249</v>
      </c>
      <c r="CS41" s="544" t="s">
        <v>249</v>
      </c>
      <c r="CT41" s="555">
        <f>SUM(BZ41,CE41,CJ41,CO41)</f>
        <v>0</v>
      </c>
      <c r="CU41" s="544" t="s">
        <v>249</v>
      </c>
      <c r="CV41" s="544" t="s">
        <v>249</v>
      </c>
      <c r="CW41" s="544" t="s">
        <v>249</v>
      </c>
      <c r="CX41" s="544" t="s">
        <v>249</v>
      </c>
      <c r="CY41" s="544" t="s">
        <v>249</v>
      </c>
      <c r="CZ41" s="544" t="s">
        <v>249</v>
      </c>
      <c r="DA41" s="544" t="s">
        <v>249</v>
      </c>
      <c r="DB41" s="544" t="s">
        <v>249</v>
      </c>
      <c r="DC41" s="544" t="s">
        <v>249</v>
      </c>
      <c r="DD41" s="544" t="s">
        <v>249</v>
      </c>
      <c r="DE41" s="544" t="s">
        <v>249</v>
      </c>
      <c r="DF41" s="544" t="s">
        <v>249</v>
      </c>
      <c r="DG41" s="544" t="s">
        <v>249</v>
      </c>
      <c r="DH41" s="544" t="s">
        <v>249</v>
      </c>
      <c r="DI41" s="544" t="s">
        <v>249</v>
      </c>
      <c r="DJ41" s="544" t="s">
        <v>249</v>
      </c>
      <c r="DK41" s="544" t="s">
        <v>249</v>
      </c>
      <c r="DL41" s="544" t="s">
        <v>249</v>
      </c>
      <c r="DM41" s="544" t="s">
        <v>249</v>
      </c>
      <c r="DN41" s="544" t="s">
        <v>249</v>
      </c>
      <c r="DO41" s="544" t="s">
        <v>249</v>
      </c>
      <c r="DP41" s="544" t="s">
        <v>249</v>
      </c>
      <c r="DQ41" s="544" t="s">
        <v>249</v>
      </c>
      <c r="DR41" s="544" t="s">
        <v>249</v>
      </c>
      <c r="DS41" s="555" t="s">
        <v>249</v>
      </c>
      <c r="DT41" s="544" t="s">
        <v>249</v>
      </c>
      <c r="DU41" s="544" t="s">
        <v>249</v>
      </c>
      <c r="DV41" s="544" t="s">
        <v>249</v>
      </c>
      <c r="DW41" s="544" t="s">
        <v>249</v>
      </c>
      <c r="DX41" s="544" t="s">
        <v>249</v>
      </c>
      <c r="DY41" s="544" t="s">
        <v>249</v>
      </c>
      <c r="DZ41" s="544" t="s">
        <v>249</v>
      </c>
      <c r="EA41" s="544" t="s">
        <v>249</v>
      </c>
      <c r="EB41" s="544" t="s">
        <v>249</v>
      </c>
      <c r="EC41" s="544" t="s">
        <v>249</v>
      </c>
      <c r="ED41" s="544" t="s">
        <v>249</v>
      </c>
      <c r="EE41" s="544" t="s">
        <v>249</v>
      </c>
      <c r="EF41" s="544" t="s">
        <v>249</v>
      </c>
      <c r="EG41" s="544" t="s">
        <v>249</v>
      </c>
      <c r="EH41" s="544" t="s">
        <v>249</v>
      </c>
      <c r="EI41" s="544" t="s">
        <v>249</v>
      </c>
      <c r="EJ41" s="544" t="s">
        <v>249</v>
      </c>
      <c r="EK41" s="544" t="s">
        <v>249</v>
      </c>
      <c r="EL41" s="544" t="s">
        <v>249</v>
      </c>
      <c r="EM41" s="544">
        <v>21</v>
      </c>
      <c r="EN41" s="544" t="s">
        <v>249</v>
      </c>
      <c r="EO41" s="544" t="s">
        <v>249</v>
      </c>
      <c r="EP41" s="544" t="s">
        <v>249</v>
      </c>
      <c r="EQ41" s="544">
        <v>21</v>
      </c>
      <c r="ER41" s="555" t="s">
        <v>249</v>
      </c>
      <c r="ES41" s="544" t="s">
        <v>249</v>
      </c>
      <c r="ET41" s="544" t="s">
        <v>249</v>
      </c>
      <c r="EU41" s="544" t="s">
        <v>249</v>
      </c>
      <c r="EV41" s="544" t="s">
        <v>249</v>
      </c>
      <c r="EW41" s="544">
        <v>8</v>
      </c>
      <c r="EX41" s="544" t="s">
        <v>249</v>
      </c>
      <c r="EY41" s="544" t="s">
        <v>249</v>
      </c>
      <c r="EZ41" s="544" t="s">
        <v>249</v>
      </c>
      <c r="FA41" s="544">
        <v>8</v>
      </c>
      <c r="FB41" s="544"/>
      <c r="FC41" s="544"/>
      <c r="FD41" s="544"/>
      <c r="FE41" s="544"/>
      <c r="FF41" s="544"/>
      <c r="FG41" s="544"/>
      <c r="FH41" s="544"/>
      <c r="FI41" s="544"/>
      <c r="FJ41" s="544"/>
      <c r="FK41" s="544"/>
      <c r="FL41" s="544"/>
      <c r="FM41" s="544"/>
      <c r="FN41" s="544"/>
      <c r="FO41" s="544"/>
      <c r="FP41" s="544"/>
      <c r="FQ41" s="555" t="s">
        <v>249</v>
      </c>
      <c r="FR41" s="544" t="s">
        <v>249</v>
      </c>
      <c r="FS41" s="544" t="s">
        <v>249</v>
      </c>
      <c r="FT41" s="544" t="s">
        <v>249</v>
      </c>
      <c r="FU41" s="544" t="s">
        <v>249</v>
      </c>
    </row>
    <row r="42" spans="2:179">
      <c r="B42" s="99" t="str">
        <f>names!$A782</f>
        <v>Tworzywa sztuczne, w tym:</v>
      </c>
      <c r="C42" s="539">
        <f>SUM(C43:C44)</f>
        <v>97</v>
      </c>
      <c r="D42" s="539" t="s">
        <v>249</v>
      </c>
      <c r="E42" s="539">
        <f t="shared" ref="E42:BP42" si="355">SUM(E43:E44)</f>
        <v>22</v>
      </c>
      <c r="F42" s="539" t="s">
        <v>249</v>
      </c>
      <c r="G42" s="539">
        <f t="shared" si="355"/>
        <v>75</v>
      </c>
      <c r="H42" s="539">
        <f t="shared" si="355"/>
        <v>107</v>
      </c>
      <c r="I42" s="539" t="s">
        <v>249</v>
      </c>
      <c r="J42" s="539">
        <f t="shared" si="355"/>
        <v>22</v>
      </c>
      <c r="K42" s="539" t="s">
        <v>249</v>
      </c>
      <c r="L42" s="539">
        <f t="shared" si="355"/>
        <v>86</v>
      </c>
      <c r="M42" s="539">
        <f t="shared" si="355"/>
        <v>84</v>
      </c>
      <c r="N42" s="539" t="s">
        <v>249</v>
      </c>
      <c r="O42" s="539">
        <f t="shared" si="355"/>
        <v>14</v>
      </c>
      <c r="P42" s="539" t="s">
        <v>249</v>
      </c>
      <c r="Q42" s="539">
        <f t="shared" si="355"/>
        <v>71</v>
      </c>
      <c r="R42" s="539">
        <f t="shared" si="355"/>
        <v>45</v>
      </c>
      <c r="S42" s="539" t="s">
        <v>249</v>
      </c>
      <c r="T42" s="539">
        <f t="shared" si="355"/>
        <v>14</v>
      </c>
      <c r="U42" s="539" t="s">
        <v>249</v>
      </c>
      <c r="V42" s="539">
        <f t="shared" si="355"/>
        <v>32</v>
      </c>
      <c r="W42" s="364">
        <f t="shared" si="355"/>
        <v>333</v>
      </c>
      <c r="X42" s="539" t="s">
        <v>249</v>
      </c>
      <c r="Y42" s="539">
        <f t="shared" si="355"/>
        <v>72</v>
      </c>
      <c r="Z42" s="539" t="s">
        <v>249</v>
      </c>
      <c r="AA42" s="539">
        <f t="shared" si="355"/>
        <v>264</v>
      </c>
      <c r="AB42" s="539">
        <f t="shared" si="355"/>
        <v>105</v>
      </c>
      <c r="AC42" s="539" t="s">
        <v>249</v>
      </c>
      <c r="AD42" s="539">
        <f t="shared" si="355"/>
        <v>26</v>
      </c>
      <c r="AE42" s="539" t="s">
        <v>249</v>
      </c>
      <c r="AF42" s="539">
        <f t="shared" si="355"/>
        <v>80</v>
      </c>
      <c r="AG42" s="539">
        <f t="shared" si="355"/>
        <v>79</v>
      </c>
      <c r="AH42" s="539" t="s">
        <v>249</v>
      </c>
      <c r="AI42" s="539">
        <f t="shared" si="355"/>
        <v>8</v>
      </c>
      <c r="AJ42" s="539" t="s">
        <v>249</v>
      </c>
      <c r="AK42" s="539">
        <f t="shared" si="355"/>
        <v>71</v>
      </c>
      <c r="AL42" s="539">
        <f t="shared" si="355"/>
        <v>94</v>
      </c>
      <c r="AM42" s="539" t="s">
        <v>249</v>
      </c>
      <c r="AN42" s="539">
        <f t="shared" si="355"/>
        <v>15</v>
      </c>
      <c r="AO42" s="539" t="s">
        <v>249</v>
      </c>
      <c r="AP42" s="539">
        <f t="shared" si="355"/>
        <v>80</v>
      </c>
      <c r="AQ42" s="539">
        <f t="shared" si="355"/>
        <v>109</v>
      </c>
      <c r="AR42" s="539" t="s">
        <v>249</v>
      </c>
      <c r="AS42" s="539">
        <f t="shared" si="355"/>
        <v>27</v>
      </c>
      <c r="AT42" s="539" t="s">
        <v>249</v>
      </c>
      <c r="AU42" s="539">
        <f t="shared" si="355"/>
        <v>83</v>
      </c>
      <c r="AV42" s="364">
        <f t="shared" si="355"/>
        <v>387</v>
      </c>
      <c r="AW42" s="539" t="s">
        <v>249</v>
      </c>
      <c r="AX42" s="539">
        <f t="shared" ref="AX42" si="356">SUM(AX43:AX44)</f>
        <v>76</v>
      </c>
      <c r="AY42" s="539" t="s">
        <v>249</v>
      </c>
      <c r="AZ42" s="539">
        <f t="shared" ref="AZ42" si="357">SUM(AZ43:AZ44)</f>
        <v>314</v>
      </c>
      <c r="BA42" s="539">
        <f t="shared" si="355"/>
        <v>104</v>
      </c>
      <c r="BB42" s="539" t="s">
        <v>249</v>
      </c>
      <c r="BC42" s="539">
        <f t="shared" si="355"/>
        <v>30</v>
      </c>
      <c r="BD42" s="539" t="s">
        <v>249</v>
      </c>
      <c r="BE42" s="539">
        <f t="shared" si="355"/>
        <v>76</v>
      </c>
      <c r="BF42" s="539">
        <f t="shared" si="355"/>
        <v>42</v>
      </c>
      <c r="BG42" s="539" t="s">
        <v>249</v>
      </c>
      <c r="BH42" s="539">
        <f t="shared" si="355"/>
        <v>26</v>
      </c>
      <c r="BI42" s="539" t="s">
        <v>249</v>
      </c>
      <c r="BJ42" s="539">
        <f t="shared" si="355"/>
        <v>19</v>
      </c>
      <c r="BK42" s="539">
        <f t="shared" si="355"/>
        <v>93</v>
      </c>
      <c r="BL42" s="539" t="s">
        <v>249</v>
      </c>
      <c r="BM42" s="539">
        <f t="shared" si="355"/>
        <v>15</v>
      </c>
      <c r="BN42" s="539" t="s">
        <v>249</v>
      </c>
      <c r="BO42" s="539">
        <f t="shared" si="355"/>
        <v>79</v>
      </c>
      <c r="BP42" s="539">
        <f t="shared" si="355"/>
        <v>101</v>
      </c>
      <c r="BQ42" s="539" t="s">
        <v>249</v>
      </c>
      <c r="BR42" s="539">
        <f t="shared" ref="BR42:BU42" si="358">SUM(BR43:BR44)</f>
        <v>18</v>
      </c>
      <c r="BS42" s="539" t="s">
        <v>249</v>
      </c>
      <c r="BT42" s="539">
        <f t="shared" si="358"/>
        <v>84</v>
      </c>
      <c r="BU42" s="364">
        <f t="shared" si="358"/>
        <v>340</v>
      </c>
      <c r="BV42" s="539" t="s">
        <v>249</v>
      </c>
      <c r="BW42" s="539">
        <f t="shared" ref="BW42" si="359">SUM(BW43:BW44)</f>
        <v>89</v>
      </c>
      <c r="BX42" s="539" t="s">
        <v>249</v>
      </c>
      <c r="BY42" s="539">
        <f t="shared" ref="BY42:CE42" si="360">SUM(BY43:BY44)</f>
        <v>258</v>
      </c>
      <c r="BZ42" s="539">
        <f t="shared" si="360"/>
        <v>114</v>
      </c>
      <c r="CA42" s="539" t="s">
        <v>249</v>
      </c>
      <c r="CB42" s="539">
        <f t="shared" si="360"/>
        <v>27</v>
      </c>
      <c r="CC42" s="539" t="s">
        <v>249</v>
      </c>
      <c r="CD42" s="539">
        <f t="shared" si="360"/>
        <v>88</v>
      </c>
      <c r="CE42" s="539">
        <f t="shared" si="360"/>
        <v>115</v>
      </c>
      <c r="CF42" s="539" t="s">
        <v>249</v>
      </c>
      <c r="CG42" s="539">
        <f t="shared" ref="CG42" si="361">SUM(CG43:CG44)</f>
        <v>32</v>
      </c>
      <c r="CH42" s="539" t="s">
        <v>249</v>
      </c>
      <c r="CI42" s="539">
        <f t="shared" ref="CI42" si="362">SUM(CI43:CI44)</f>
        <v>84</v>
      </c>
      <c r="CJ42" s="539">
        <f t="shared" ref="CJ42" si="363">SUM(CJ43:CJ44)</f>
        <v>79</v>
      </c>
      <c r="CK42" s="539" t="s">
        <v>249</v>
      </c>
      <c r="CL42" s="539">
        <f t="shared" ref="CL42" si="364">SUM(CL43:CL44)</f>
        <v>9</v>
      </c>
      <c r="CM42" s="539" t="s">
        <v>249</v>
      </c>
      <c r="CN42" s="539">
        <f t="shared" ref="CN42:CO42" si="365">SUM(CN43:CN44)</f>
        <v>70</v>
      </c>
      <c r="CO42" s="539">
        <f t="shared" si="365"/>
        <v>76</v>
      </c>
      <c r="CP42" s="539" t="s">
        <v>249</v>
      </c>
      <c r="CQ42" s="539">
        <f t="shared" ref="CQ42" si="366">SUM(CQ43:CQ44)</f>
        <v>10</v>
      </c>
      <c r="CR42" s="539" t="s">
        <v>249</v>
      </c>
      <c r="CS42" s="539">
        <f t="shared" ref="CS42:CT42" si="367">SUM(CS43:CS44)</f>
        <v>66</v>
      </c>
      <c r="CT42" s="364">
        <f t="shared" si="367"/>
        <v>384</v>
      </c>
      <c r="CU42" s="539" t="s">
        <v>249</v>
      </c>
      <c r="CV42" s="539">
        <f t="shared" ref="CV42" si="368">SUM(CV43:CV44)</f>
        <v>78</v>
      </c>
      <c r="CW42" s="539" t="s">
        <v>249</v>
      </c>
      <c r="CX42" s="539">
        <f t="shared" ref="CX42:CY42" si="369">SUM(CX43:CX44)</f>
        <v>308</v>
      </c>
      <c r="CY42" s="539">
        <f t="shared" si="369"/>
        <v>71</v>
      </c>
      <c r="CZ42" s="539" t="s">
        <v>249</v>
      </c>
      <c r="DA42" s="539">
        <f t="shared" ref="DA42" si="370">SUM(DA43:DA44)</f>
        <v>6</v>
      </c>
      <c r="DB42" s="539" t="s">
        <v>249</v>
      </c>
      <c r="DC42" s="539">
        <f t="shared" ref="DC42:DD42" si="371">SUM(DC43:DC44)</f>
        <v>65</v>
      </c>
      <c r="DD42" s="539">
        <f t="shared" si="371"/>
        <v>53</v>
      </c>
      <c r="DE42" s="539" t="s">
        <v>249</v>
      </c>
      <c r="DF42" s="539">
        <f t="shared" ref="DF42" si="372">SUM(DF43:DF44)</f>
        <v>9</v>
      </c>
      <c r="DG42" s="539" t="s">
        <v>249</v>
      </c>
      <c r="DH42" s="539">
        <f t="shared" ref="DH42" si="373">SUM(DH43:DH44)</f>
        <v>44</v>
      </c>
      <c r="DI42" s="539">
        <v>66</v>
      </c>
      <c r="DJ42" s="539"/>
      <c r="DK42" s="539">
        <f t="shared" ref="DK42" si="374">SUM(DK43:DK44)</f>
        <v>4</v>
      </c>
      <c r="DL42" s="539" t="s">
        <v>249</v>
      </c>
      <c r="DM42" s="539">
        <f t="shared" ref="DM42:DN42" si="375">SUM(DM43:DM44)</f>
        <v>62</v>
      </c>
      <c r="DN42" s="539">
        <f t="shared" si="375"/>
        <v>17</v>
      </c>
      <c r="DO42" s="539"/>
      <c r="DP42" s="539">
        <f t="shared" ref="DP42" si="376">SUM(DP43:DP44)</f>
        <v>8</v>
      </c>
      <c r="DQ42" s="539" t="s">
        <v>249</v>
      </c>
      <c r="DR42" s="539">
        <f t="shared" ref="DR42:DS42" si="377">SUM(DR43:DR44)</f>
        <v>10</v>
      </c>
      <c r="DS42" s="364">
        <f t="shared" si="377"/>
        <v>207</v>
      </c>
      <c r="DT42" s="539" t="s">
        <v>249</v>
      </c>
      <c r="DU42" s="539">
        <f t="shared" ref="DU42" si="378">SUM(DU43:DU44)</f>
        <v>27</v>
      </c>
      <c r="DV42" s="539" t="s">
        <v>249</v>
      </c>
      <c r="DW42" s="539">
        <f t="shared" ref="DW42:DX42" si="379">SUM(DW43:DW44)</f>
        <v>181</v>
      </c>
      <c r="DX42" s="539">
        <f t="shared" si="379"/>
        <v>75</v>
      </c>
      <c r="DY42" s="539" t="s">
        <v>249</v>
      </c>
      <c r="DZ42" s="539">
        <f t="shared" ref="DZ42" si="380">SUM(DZ43:DZ44)</f>
        <v>12</v>
      </c>
      <c r="EA42" s="539" t="s">
        <v>249</v>
      </c>
      <c r="EB42" s="539">
        <f t="shared" ref="EB42:EC42" si="381">SUM(EB43:EB44)</f>
        <v>64</v>
      </c>
      <c r="EC42" s="539">
        <f t="shared" si="381"/>
        <v>51</v>
      </c>
      <c r="ED42" s="539" t="s">
        <v>249</v>
      </c>
      <c r="EE42" s="539">
        <f t="shared" ref="EE42" si="382">SUM(EE43:EE44)</f>
        <v>0</v>
      </c>
      <c r="EF42" s="539" t="s">
        <v>249</v>
      </c>
      <c r="EG42" s="539">
        <f t="shared" ref="EG42:EH42" si="383">SUM(EG43:EG44)</f>
        <v>51</v>
      </c>
      <c r="EH42" s="539">
        <f t="shared" si="383"/>
        <v>84</v>
      </c>
      <c r="EI42" s="539" t="s">
        <v>249</v>
      </c>
      <c r="EJ42" s="539">
        <f t="shared" ref="EJ42" si="384">SUM(EJ43:EJ44)</f>
        <v>6</v>
      </c>
      <c r="EK42" s="539" t="s">
        <v>249</v>
      </c>
      <c r="EL42" s="539">
        <f t="shared" ref="EL42:EM42" si="385">SUM(EL43:EL44)</f>
        <v>78</v>
      </c>
      <c r="EM42" s="539">
        <f t="shared" si="385"/>
        <v>60</v>
      </c>
      <c r="EN42" s="539"/>
      <c r="EO42" s="539">
        <f t="shared" ref="EO42" si="386">SUM(EO43:EO44)</f>
        <v>20</v>
      </c>
      <c r="EP42" s="539" t="s">
        <v>249</v>
      </c>
      <c r="EQ42" s="539">
        <f t="shared" ref="EQ42:ER42" si="387">SUM(EQ43:EQ44)</f>
        <v>40</v>
      </c>
      <c r="ER42" s="364">
        <f t="shared" si="387"/>
        <v>270</v>
      </c>
      <c r="ES42" s="539" t="s">
        <v>249</v>
      </c>
      <c r="ET42" s="539">
        <f t="shared" ref="ET42" si="388">SUM(ET43:ET44)</f>
        <v>38</v>
      </c>
      <c r="EU42" s="539" t="s">
        <v>249</v>
      </c>
      <c r="EV42" s="539">
        <f t="shared" ref="EV42:EW42" si="389">SUM(EV43:EV44)</f>
        <v>233</v>
      </c>
      <c r="EW42" s="539">
        <f t="shared" si="389"/>
        <v>36</v>
      </c>
      <c r="EX42" s="539" t="s">
        <v>249</v>
      </c>
      <c r="EY42" s="539">
        <f t="shared" ref="EY42" si="390">SUM(EY43:EY44)</f>
        <v>1</v>
      </c>
      <c r="EZ42" s="539" t="s">
        <v>249</v>
      </c>
      <c r="FA42" s="539">
        <f t="shared" ref="FA42:FB42" si="391">SUM(FA43:FA44)</f>
        <v>35</v>
      </c>
      <c r="FB42" s="539">
        <f t="shared" si="391"/>
        <v>0</v>
      </c>
      <c r="FC42" s="539" t="s">
        <v>249</v>
      </c>
      <c r="FD42" s="539">
        <f t="shared" ref="FD42" si="392">SUM(FD43:FD44)</f>
        <v>0</v>
      </c>
      <c r="FE42" s="539" t="s">
        <v>249</v>
      </c>
      <c r="FF42" s="539">
        <f t="shared" ref="FF42:FG42" si="393">SUM(FF43:FF44)</f>
        <v>0</v>
      </c>
      <c r="FG42" s="539">
        <f t="shared" si="393"/>
        <v>0</v>
      </c>
      <c r="FH42" s="539" t="s">
        <v>249</v>
      </c>
      <c r="FI42" s="539">
        <f t="shared" ref="FI42" si="394">SUM(FI43:FI44)</f>
        <v>0</v>
      </c>
      <c r="FJ42" s="539" t="s">
        <v>249</v>
      </c>
      <c r="FK42" s="539">
        <f t="shared" ref="FK42:FL42" si="395">SUM(FK43:FK44)</f>
        <v>0</v>
      </c>
      <c r="FL42" s="539">
        <f t="shared" si="395"/>
        <v>0</v>
      </c>
      <c r="FM42" s="539" t="s">
        <v>249</v>
      </c>
      <c r="FN42" s="539">
        <f t="shared" ref="FN42" si="396">SUM(FN43:FN44)</f>
        <v>0</v>
      </c>
      <c r="FO42" s="539" t="s">
        <v>249</v>
      </c>
      <c r="FP42" s="539">
        <f t="shared" ref="FP42" si="397">SUM(FP43:FP44)</f>
        <v>0</v>
      </c>
      <c r="FQ42" s="364">
        <f t="shared" ref="FQ42" si="398">SUM(FQ43:FQ44)</f>
        <v>36</v>
      </c>
      <c r="FR42" s="539" t="s">
        <v>249</v>
      </c>
      <c r="FS42" s="539">
        <f t="shared" ref="FS42" si="399">SUM(FS43:FS44)</f>
        <v>1</v>
      </c>
      <c r="FT42" s="539" t="s">
        <v>249</v>
      </c>
      <c r="FU42" s="539">
        <f t="shared" ref="FU42" si="400">SUM(FU43:FU44)</f>
        <v>35</v>
      </c>
    </row>
    <row r="43" spans="2:179" outlineLevel="1">
      <c r="B43" s="546" t="str">
        <f>names!$A783</f>
        <v xml:space="preserve">  - PCW</v>
      </c>
      <c r="C43" s="541">
        <v>84</v>
      </c>
      <c r="D43" s="541" t="s">
        <v>249</v>
      </c>
      <c r="E43" s="541">
        <v>22</v>
      </c>
      <c r="F43" s="541" t="s">
        <v>249</v>
      </c>
      <c r="G43" s="541">
        <v>62</v>
      </c>
      <c r="H43" s="541">
        <v>93</v>
      </c>
      <c r="I43" s="541" t="s">
        <v>249</v>
      </c>
      <c r="J43" s="541">
        <v>22</v>
      </c>
      <c r="K43" s="541" t="s">
        <v>249</v>
      </c>
      <c r="L43" s="541">
        <v>72</v>
      </c>
      <c r="M43" s="541">
        <v>70</v>
      </c>
      <c r="N43" s="541" t="s">
        <v>249</v>
      </c>
      <c r="O43" s="541">
        <v>14</v>
      </c>
      <c r="P43" s="541" t="s">
        <v>249</v>
      </c>
      <c r="Q43" s="541">
        <v>56</v>
      </c>
      <c r="R43" s="541">
        <v>33</v>
      </c>
      <c r="S43" s="541" t="s">
        <v>249</v>
      </c>
      <c r="T43" s="541">
        <v>14</v>
      </c>
      <c r="U43" s="541" t="s">
        <v>249</v>
      </c>
      <c r="V43" s="541">
        <v>20</v>
      </c>
      <c r="W43" s="552">
        <f>SUM(C43,H43,M43,R43)</f>
        <v>280</v>
      </c>
      <c r="X43" s="541" t="s">
        <v>249</v>
      </c>
      <c r="Y43" s="541">
        <f t="shared" ref="Y43" si="401">SUM(E43,J43,O43,T43)</f>
        <v>72</v>
      </c>
      <c r="Z43" s="541" t="s">
        <v>249</v>
      </c>
      <c r="AA43" s="541">
        <f t="shared" ref="AA43:AA44" si="402">SUM(G43,L43,Q43,V43)</f>
        <v>210</v>
      </c>
      <c r="AB43" s="541">
        <v>93</v>
      </c>
      <c r="AC43" s="541" t="s">
        <v>249</v>
      </c>
      <c r="AD43" s="541">
        <v>26</v>
      </c>
      <c r="AE43" s="541" t="s">
        <v>249</v>
      </c>
      <c r="AF43" s="541">
        <v>68</v>
      </c>
      <c r="AG43" s="541">
        <v>68</v>
      </c>
      <c r="AH43" s="541" t="s">
        <v>249</v>
      </c>
      <c r="AI43" s="541">
        <v>8</v>
      </c>
      <c r="AJ43" s="541" t="s">
        <v>249</v>
      </c>
      <c r="AK43" s="541">
        <v>60</v>
      </c>
      <c r="AL43" s="541">
        <v>80</v>
      </c>
      <c r="AM43" s="541" t="s">
        <v>249</v>
      </c>
      <c r="AN43" s="541">
        <v>15</v>
      </c>
      <c r="AO43" s="541" t="s">
        <v>249</v>
      </c>
      <c r="AP43" s="541">
        <v>66</v>
      </c>
      <c r="AQ43" s="541">
        <v>95</v>
      </c>
      <c r="AR43" s="541" t="s">
        <v>249</v>
      </c>
      <c r="AS43" s="541">
        <v>27</v>
      </c>
      <c r="AT43" s="541" t="s">
        <v>249</v>
      </c>
      <c r="AU43" s="541">
        <v>69</v>
      </c>
      <c r="AV43" s="552">
        <f>SUM(AB43,AG43,AL43,AQ43)</f>
        <v>336</v>
      </c>
      <c r="AW43" s="541" t="s">
        <v>249</v>
      </c>
      <c r="AX43" s="541">
        <f t="shared" ref="AX43" si="403">SUM(AD43,AI43,AN43,AS43)</f>
        <v>76</v>
      </c>
      <c r="AY43" s="541" t="s">
        <v>249</v>
      </c>
      <c r="AZ43" s="541">
        <f t="shared" ref="AZ43:AZ44" si="404">SUM(AF43,AK43,AP43,AU43)</f>
        <v>263</v>
      </c>
      <c r="BA43" s="541">
        <v>90</v>
      </c>
      <c r="BB43" s="541" t="s">
        <v>249</v>
      </c>
      <c r="BC43" s="541">
        <v>30</v>
      </c>
      <c r="BD43" s="541" t="s">
        <v>249</v>
      </c>
      <c r="BE43" s="541">
        <v>61</v>
      </c>
      <c r="BF43" s="541">
        <v>26</v>
      </c>
      <c r="BG43" s="541" t="s">
        <v>249</v>
      </c>
      <c r="BH43" s="541">
        <v>26</v>
      </c>
      <c r="BI43" s="541" t="s">
        <v>249</v>
      </c>
      <c r="BJ43" s="541">
        <v>3</v>
      </c>
      <c r="BK43" s="541">
        <v>77</v>
      </c>
      <c r="BL43" s="541" t="s">
        <v>249</v>
      </c>
      <c r="BM43" s="541">
        <v>15</v>
      </c>
      <c r="BN43" s="541" t="s">
        <v>249</v>
      </c>
      <c r="BO43" s="541">
        <v>63</v>
      </c>
      <c r="BP43" s="541">
        <v>87</v>
      </c>
      <c r="BQ43" s="541" t="s">
        <v>249</v>
      </c>
      <c r="BR43" s="541">
        <v>18</v>
      </c>
      <c r="BS43" s="541" t="s">
        <v>249</v>
      </c>
      <c r="BT43" s="541">
        <v>69</v>
      </c>
      <c r="BU43" s="552">
        <f>SUM(BA43,BF43,BK43,BP43)</f>
        <v>280</v>
      </c>
      <c r="BV43" s="541" t="s">
        <v>249</v>
      </c>
      <c r="BW43" s="541">
        <f t="shared" ref="BW43" si="405">SUM(BC43,BH43,BM43,BR43)</f>
        <v>89</v>
      </c>
      <c r="BX43" s="541" t="s">
        <v>249</v>
      </c>
      <c r="BY43" s="541">
        <f t="shared" ref="BY43:BY44" si="406">SUM(BE43,BJ43,BO43,BT43)</f>
        <v>196</v>
      </c>
      <c r="BZ43" s="541">
        <v>99</v>
      </c>
      <c r="CA43" s="541" t="s">
        <v>249</v>
      </c>
      <c r="CB43" s="541">
        <v>27</v>
      </c>
      <c r="CC43" s="541" t="s">
        <v>249</v>
      </c>
      <c r="CD43" s="541">
        <v>73</v>
      </c>
      <c r="CE43" s="541">
        <v>99</v>
      </c>
      <c r="CF43" s="541" t="s">
        <v>249</v>
      </c>
      <c r="CG43" s="541">
        <v>32</v>
      </c>
      <c r="CH43" s="541" t="s">
        <v>249</v>
      </c>
      <c r="CI43" s="541">
        <v>68</v>
      </c>
      <c r="CJ43" s="541">
        <v>67</v>
      </c>
      <c r="CK43" s="541" t="s">
        <v>249</v>
      </c>
      <c r="CL43" s="541">
        <v>9</v>
      </c>
      <c r="CM43" s="541" t="s">
        <v>249</v>
      </c>
      <c r="CN43" s="541">
        <v>58</v>
      </c>
      <c r="CO43" s="541">
        <v>66</v>
      </c>
      <c r="CP43" s="541" t="s">
        <v>249</v>
      </c>
      <c r="CQ43" s="541">
        <v>10</v>
      </c>
      <c r="CR43" s="541" t="s">
        <v>249</v>
      </c>
      <c r="CS43" s="541">
        <v>56</v>
      </c>
      <c r="CT43" s="552">
        <f>SUM(BZ43,CE43,CJ43,CO43)</f>
        <v>331</v>
      </c>
      <c r="CU43" s="541" t="s">
        <v>249</v>
      </c>
      <c r="CV43" s="541">
        <f t="shared" ref="CV43" si="407">SUM(CB43,CG43,CL43,CQ43)</f>
        <v>78</v>
      </c>
      <c r="CW43" s="541" t="s">
        <v>249</v>
      </c>
      <c r="CX43" s="541">
        <f t="shared" ref="CX43:CX44" si="408">SUM(CD43,CI43,CN43,CS43)</f>
        <v>255</v>
      </c>
      <c r="CY43" s="541">
        <v>59</v>
      </c>
      <c r="CZ43" s="541" t="s">
        <v>249</v>
      </c>
      <c r="DA43" s="541">
        <v>6</v>
      </c>
      <c r="DB43" s="541" t="s">
        <v>249</v>
      </c>
      <c r="DC43" s="541">
        <v>53</v>
      </c>
      <c r="DD43" s="541">
        <v>42</v>
      </c>
      <c r="DE43" s="541" t="s">
        <v>249</v>
      </c>
      <c r="DF43" s="541">
        <v>9</v>
      </c>
      <c r="DG43" s="541" t="s">
        <v>249</v>
      </c>
      <c r="DH43" s="541">
        <v>33</v>
      </c>
      <c r="DI43" s="541">
        <v>55</v>
      </c>
      <c r="DJ43" s="541" t="s">
        <v>249</v>
      </c>
      <c r="DK43" s="541">
        <v>4</v>
      </c>
      <c r="DL43" s="541" t="s">
        <v>249</v>
      </c>
      <c r="DM43" s="541">
        <v>51</v>
      </c>
      <c r="DN43" s="541">
        <v>7</v>
      </c>
      <c r="DO43" s="541" t="s">
        <v>249</v>
      </c>
      <c r="DP43" s="541">
        <v>8</v>
      </c>
      <c r="DQ43" s="541" t="s">
        <v>249</v>
      </c>
      <c r="DR43" s="541">
        <v>0</v>
      </c>
      <c r="DS43" s="552">
        <f>SUM(CY43,DD43,DI43,DN43)</f>
        <v>163</v>
      </c>
      <c r="DT43" s="541" t="s">
        <v>249</v>
      </c>
      <c r="DU43" s="541">
        <f t="shared" ref="DU43" si="409">SUM(DA43,DF43,DK43,DP43)</f>
        <v>27</v>
      </c>
      <c r="DV43" s="541" t="s">
        <v>249</v>
      </c>
      <c r="DW43" s="541">
        <f t="shared" ref="DW43:DW44" si="410">SUM(DC43,DH43,DM43,DR43)</f>
        <v>137</v>
      </c>
      <c r="DX43" s="541">
        <v>63</v>
      </c>
      <c r="DY43" s="541" t="s">
        <v>249</v>
      </c>
      <c r="DZ43" s="541">
        <v>12</v>
      </c>
      <c r="EA43" s="541" t="s">
        <v>249</v>
      </c>
      <c r="EB43" s="541">
        <v>52</v>
      </c>
      <c r="EC43" s="541">
        <v>40</v>
      </c>
      <c r="ED43" s="541" t="s">
        <v>249</v>
      </c>
      <c r="EE43" s="541"/>
      <c r="EF43" s="541" t="s">
        <v>249</v>
      </c>
      <c r="EG43" s="541">
        <v>40</v>
      </c>
      <c r="EH43" s="541">
        <v>73</v>
      </c>
      <c r="EI43" s="541" t="s">
        <v>249</v>
      </c>
      <c r="EJ43" s="541">
        <v>6</v>
      </c>
      <c r="EK43" s="541" t="s">
        <v>249</v>
      </c>
      <c r="EL43" s="541">
        <v>67</v>
      </c>
      <c r="EM43" s="541">
        <v>51</v>
      </c>
      <c r="EN43" s="541" t="s">
        <v>249</v>
      </c>
      <c r="EO43" s="541">
        <v>20</v>
      </c>
      <c r="EP43" s="541" t="s">
        <v>249</v>
      </c>
      <c r="EQ43" s="541">
        <v>31</v>
      </c>
      <c r="ER43" s="552">
        <f>SUM(DX43,EC43,EH43,EM43)</f>
        <v>227</v>
      </c>
      <c r="ES43" s="541" t="s">
        <v>249</v>
      </c>
      <c r="ET43" s="541">
        <f t="shared" ref="ET43" si="411">SUM(DZ43,EE43,EJ43,EO43)</f>
        <v>38</v>
      </c>
      <c r="EU43" s="541" t="s">
        <v>249</v>
      </c>
      <c r="EV43" s="541">
        <f t="shared" ref="EV43:EV44" si="412">SUM(EB43,EG43,EL43,EQ43)</f>
        <v>190</v>
      </c>
      <c r="EW43" s="541">
        <v>26</v>
      </c>
      <c r="EX43" s="541" t="s">
        <v>249</v>
      </c>
      <c r="EY43" s="541">
        <v>1</v>
      </c>
      <c r="EZ43" s="541" t="s">
        <v>249</v>
      </c>
      <c r="FA43" s="541">
        <v>25</v>
      </c>
      <c r="FB43" s="541"/>
      <c r="FC43" s="541"/>
      <c r="FD43" s="541"/>
      <c r="FE43" s="541"/>
      <c r="FF43" s="541"/>
      <c r="FG43" s="541"/>
      <c r="FH43" s="541"/>
      <c r="FI43" s="541"/>
      <c r="FJ43" s="541"/>
      <c r="FK43" s="541"/>
      <c r="FL43" s="541"/>
      <c r="FM43" s="541"/>
      <c r="FN43" s="541"/>
      <c r="FO43" s="541"/>
      <c r="FP43" s="541"/>
      <c r="FQ43" s="552">
        <f>SUM(EW43,FB43,FG43,FL43)</f>
        <v>26</v>
      </c>
      <c r="FR43" s="541" t="s">
        <v>249</v>
      </c>
      <c r="FS43" s="541">
        <f t="shared" ref="FS43" si="413">SUM(EY43,FD43,FI43,FN43)</f>
        <v>1</v>
      </c>
      <c r="FT43" s="541" t="s">
        <v>249</v>
      </c>
      <c r="FU43" s="541">
        <f t="shared" ref="FU43:FU44" si="414">SUM(FA43,FF43,FK43,FP43)</f>
        <v>25</v>
      </c>
    </row>
    <row r="44" spans="2:179" outlineLevel="1">
      <c r="B44" s="547" t="str">
        <f>names!$A784</f>
        <v xml:space="preserve">  - przetwórstwo PCW</v>
      </c>
      <c r="C44" s="544">
        <v>13</v>
      </c>
      <c r="D44" s="544" t="s">
        <v>249</v>
      </c>
      <c r="E44" s="544" t="s">
        <v>249</v>
      </c>
      <c r="F44" s="544" t="s">
        <v>249</v>
      </c>
      <c r="G44" s="544">
        <v>13</v>
      </c>
      <c r="H44" s="544">
        <v>14</v>
      </c>
      <c r="I44" s="544" t="s">
        <v>249</v>
      </c>
      <c r="J44" s="544" t="s">
        <v>249</v>
      </c>
      <c r="K44" s="544" t="s">
        <v>249</v>
      </c>
      <c r="L44" s="544">
        <v>14</v>
      </c>
      <c r="M44" s="544">
        <v>14</v>
      </c>
      <c r="N44" s="544" t="s">
        <v>249</v>
      </c>
      <c r="O44" s="544" t="s">
        <v>249</v>
      </c>
      <c r="P44" s="544" t="s">
        <v>249</v>
      </c>
      <c r="Q44" s="544">
        <v>15</v>
      </c>
      <c r="R44" s="544">
        <v>12</v>
      </c>
      <c r="S44" s="544" t="s">
        <v>249</v>
      </c>
      <c r="T44" s="544" t="s">
        <v>249</v>
      </c>
      <c r="U44" s="544" t="s">
        <v>249</v>
      </c>
      <c r="V44" s="544">
        <v>12</v>
      </c>
      <c r="W44" s="555">
        <f>SUM(C44,H44,M44,R44)</f>
        <v>53</v>
      </c>
      <c r="X44" s="544" t="s">
        <v>249</v>
      </c>
      <c r="Y44" s="544" t="s">
        <v>249</v>
      </c>
      <c r="Z44" s="544" t="s">
        <v>249</v>
      </c>
      <c r="AA44" s="544">
        <f t="shared" si="402"/>
        <v>54</v>
      </c>
      <c r="AB44" s="544">
        <v>12</v>
      </c>
      <c r="AC44" s="544" t="s">
        <v>249</v>
      </c>
      <c r="AD44" s="544" t="s">
        <v>249</v>
      </c>
      <c r="AE44" s="544" t="s">
        <v>249</v>
      </c>
      <c r="AF44" s="544">
        <v>12</v>
      </c>
      <c r="AG44" s="544">
        <v>11</v>
      </c>
      <c r="AH44" s="544" t="s">
        <v>249</v>
      </c>
      <c r="AI44" s="544" t="s">
        <v>249</v>
      </c>
      <c r="AJ44" s="544" t="s">
        <v>249</v>
      </c>
      <c r="AK44" s="544">
        <v>11</v>
      </c>
      <c r="AL44" s="544">
        <v>14</v>
      </c>
      <c r="AM44" s="544" t="s">
        <v>249</v>
      </c>
      <c r="AN44" s="544" t="s">
        <v>249</v>
      </c>
      <c r="AO44" s="544" t="s">
        <v>249</v>
      </c>
      <c r="AP44" s="544">
        <v>14</v>
      </c>
      <c r="AQ44" s="544">
        <v>14</v>
      </c>
      <c r="AR44" s="544" t="s">
        <v>249</v>
      </c>
      <c r="AS44" s="544" t="s">
        <v>249</v>
      </c>
      <c r="AT44" s="544" t="s">
        <v>249</v>
      </c>
      <c r="AU44" s="544">
        <v>14</v>
      </c>
      <c r="AV44" s="555">
        <f>SUM(AB44,AG44,AL44,AQ44)</f>
        <v>51</v>
      </c>
      <c r="AW44" s="544" t="s">
        <v>249</v>
      </c>
      <c r="AX44" s="544" t="s">
        <v>249</v>
      </c>
      <c r="AY44" s="544" t="s">
        <v>249</v>
      </c>
      <c r="AZ44" s="544">
        <f t="shared" si="404"/>
        <v>51</v>
      </c>
      <c r="BA44" s="544">
        <v>14</v>
      </c>
      <c r="BB44" s="544" t="s">
        <v>249</v>
      </c>
      <c r="BC44" s="544" t="s">
        <v>249</v>
      </c>
      <c r="BD44" s="544" t="s">
        <v>249</v>
      </c>
      <c r="BE44" s="544">
        <v>15</v>
      </c>
      <c r="BF44" s="544">
        <v>16</v>
      </c>
      <c r="BG44" s="544" t="s">
        <v>249</v>
      </c>
      <c r="BH44" s="544" t="s">
        <v>249</v>
      </c>
      <c r="BI44" s="544" t="s">
        <v>249</v>
      </c>
      <c r="BJ44" s="544">
        <v>16</v>
      </c>
      <c r="BK44" s="544">
        <v>16</v>
      </c>
      <c r="BL44" s="544" t="s">
        <v>249</v>
      </c>
      <c r="BM44" s="544" t="s">
        <v>249</v>
      </c>
      <c r="BN44" s="544" t="s">
        <v>249</v>
      </c>
      <c r="BO44" s="544">
        <v>16</v>
      </c>
      <c r="BP44" s="544">
        <v>14</v>
      </c>
      <c r="BQ44" s="544" t="s">
        <v>249</v>
      </c>
      <c r="BR44" s="544" t="s">
        <v>249</v>
      </c>
      <c r="BS44" s="544" t="s">
        <v>249</v>
      </c>
      <c r="BT44" s="544">
        <v>15</v>
      </c>
      <c r="BU44" s="555">
        <f>SUM(BA44,BF44,BK44,BP44)</f>
        <v>60</v>
      </c>
      <c r="BV44" s="544" t="s">
        <v>249</v>
      </c>
      <c r="BW44" s="544" t="s">
        <v>249</v>
      </c>
      <c r="BX44" s="544" t="s">
        <v>249</v>
      </c>
      <c r="BY44" s="544">
        <f t="shared" si="406"/>
        <v>62</v>
      </c>
      <c r="BZ44" s="544">
        <v>15</v>
      </c>
      <c r="CA44" s="544" t="s">
        <v>249</v>
      </c>
      <c r="CB44" s="544" t="s">
        <v>249</v>
      </c>
      <c r="CC44" s="544" t="s">
        <v>249</v>
      </c>
      <c r="CD44" s="544">
        <v>15</v>
      </c>
      <c r="CE44" s="544">
        <v>16</v>
      </c>
      <c r="CF44" s="544" t="s">
        <v>249</v>
      </c>
      <c r="CG44" s="544" t="s">
        <v>249</v>
      </c>
      <c r="CH44" s="544" t="s">
        <v>249</v>
      </c>
      <c r="CI44" s="544">
        <v>16</v>
      </c>
      <c r="CJ44" s="544">
        <v>12</v>
      </c>
      <c r="CK44" s="544" t="s">
        <v>249</v>
      </c>
      <c r="CL44" s="544" t="s">
        <v>249</v>
      </c>
      <c r="CM44" s="544" t="s">
        <v>249</v>
      </c>
      <c r="CN44" s="544">
        <v>12</v>
      </c>
      <c r="CO44" s="544">
        <v>10</v>
      </c>
      <c r="CP44" s="544" t="s">
        <v>249</v>
      </c>
      <c r="CQ44" s="544" t="s">
        <v>249</v>
      </c>
      <c r="CR44" s="544" t="s">
        <v>249</v>
      </c>
      <c r="CS44" s="544">
        <v>10</v>
      </c>
      <c r="CT44" s="555">
        <f>SUM(BZ44,CE44,CJ44,CO44)</f>
        <v>53</v>
      </c>
      <c r="CU44" s="544" t="s">
        <v>249</v>
      </c>
      <c r="CV44" s="544" t="s">
        <v>249</v>
      </c>
      <c r="CW44" s="544" t="s">
        <v>249</v>
      </c>
      <c r="CX44" s="544">
        <f t="shared" si="408"/>
        <v>53</v>
      </c>
      <c r="CY44" s="544">
        <v>12</v>
      </c>
      <c r="CZ44" s="544" t="s">
        <v>249</v>
      </c>
      <c r="DA44" s="544" t="s">
        <v>249</v>
      </c>
      <c r="DB44" s="544" t="s">
        <v>249</v>
      </c>
      <c r="DC44" s="544">
        <v>12</v>
      </c>
      <c r="DD44" s="544">
        <v>11</v>
      </c>
      <c r="DE44" s="544" t="s">
        <v>249</v>
      </c>
      <c r="DF44" s="544" t="s">
        <v>249</v>
      </c>
      <c r="DG44" s="544" t="s">
        <v>249</v>
      </c>
      <c r="DH44" s="544">
        <v>11</v>
      </c>
      <c r="DI44" s="544">
        <v>11</v>
      </c>
      <c r="DJ44" s="544" t="s">
        <v>249</v>
      </c>
      <c r="DK44" s="544" t="s">
        <v>249</v>
      </c>
      <c r="DL44" s="544" t="s">
        <v>249</v>
      </c>
      <c r="DM44" s="544">
        <v>11</v>
      </c>
      <c r="DN44" s="544">
        <v>10</v>
      </c>
      <c r="DO44" s="544" t="s">
        <v>249</v>
      </c>
      <c r="DP44" s="544" t="s">
        <v>249</v>
      </c>
      <c r="DQ44" s="544" t="s">
        <v>249</v>
      </c>
      <c r="DR44" s="544">
        <v>10</v>
      </c>
      <c r="DS44" s="555">
        <f>SUM(CY44,DD44,DI44,DN44)</f>
        <v>44</v>
      </c>
      <c r="DT44" s="544" t="s">
        <v>249</v>
      </c>
      <c r="DU44" s="544" t="s">
        <v>249</v>
      </c>
      <c r="DV44" s="544" t="s">
        <v>249</v>
      </c>
      <c r="DW44" s="544">
        <f t="shared" si="410"/>
        <v>44</v>
      </c>
      <c r="DX44" s="544">
        <v>12</v>
      </c>
      <c r="DY44" s="544" t="s">
        <v>249</v>
      </c>
      <c r="DZ44" s="544" t="s">
        <v>249</v>
      </c>
      <c r="EA44" s="544" t="s">
        <v>249</v>
      </c>
      <c r="EB44" s="544">
        <v>12</v>
      </c>
      <c r="EC44" s="544">
        <v>11</v>
      </c>
      <c r="ED44" s="544" t="s">
        <v>249</v>
      </c>
      <c r="EE44" s="544" t="s">
        <v>249</v>
      </c>
      <c r="EF44" s="544" t="s">
        <v>249</v>
      </c>
      <c r="EG44" s="544">
        <v>11</v>
      </c>
      <c r="EH44" s="544">
        <v>11</v>
      </c>
      <c r="EI44" s="544" t="s">
        <v>249</v>
      </c>
      <c r="EJ44" s="544" t="s">
        <v>249</v>
      </c>
      <c r="EK44" s="544" t="s">
        <v>249</v>
      </c>
      <c r="EL44" s="544">
        <v>11</v>
      </c>
      <c r="EM44" s="544">
        <v>9</v>
      </c>
      <c r="EN44" s="544" t="s">
        <v>249</v>
      </c>
      <c r="EO44" s="544" t="s">
        <v>249</v>
      </c>
      <c r="EP44" s="544" t="s">
        <v>249</v>
      </c>
      <c r="EQ44" s="544">
        <v>9</v>
      </c>
      <c r="ER44" s="555">
        <f>SUM(DX44,EC44,EH44,EM44)</f>
        <v>43</v>
      </c>
      <c r="ES44" s="544" t="s">
        <v>249</v>
      </c>
      <c r="ET44" s="544" t="s">
        <v>249</v>
      </c>
      <c r="EU44" s="544" t="s">
        <v>249</v>
      </c>
      <c r="EV44" s="544">
        <f t="shared" si="412"/>
        <v>43</v>
      </c>
      <c r="EW44" s="544">
        <v>10</v>
      </c>
      <c r="EX44" s="544" t="s">
        <v>249</v>
      </c>
      <c r="EY44" s="544" t="s">
        <v>249</v>
      </c>
      <c r="EZ44" s="544" t="s">
        <v>249</v>
      </c>
      <c r="FA44" s="544">
        <v>10</v>
      </c>
      <c r="FB44" s="544"/>
      <c r="FC44" s="544"/>
      <c r="FD44" s="544"/>
      <c r="FE44" s="544"/>
      <c r="FF44" s="544"/>
      <c r="FG44" s="544"/>
      <c r="FH44" s="544"/>
      <c r="FI44" s="544"/>
      <c r="FJ44" s="544"/>
      <c r="FK44" s="544"/>
      <c r="FL44" s="544"/>
      <c r="FM44" s="544"/>
      <c r="FN44" s="544"/>
      <c r="FO44" s="544"/>
      <c r="FP44" s="544"/>
      <c r="FQ44" s="555">
        <f>SUM(EW44,FB44,FG44,FL44)</f>
        <v>10</v>
      </c>
      <c r="FR44" s="544" t="s">
        <v>249</v>
      </c>
      <c r="FS44" s="544" t="s">
        <v>249</v>
      </c>
      <c r="FT44" s="544" t="s">
        <v>249</v>
      </c>
      <c r="FU44" s="544">
        <f t="shared" si="414"/>
        <v>10</v>
      </c>
    </row>
    <row r="45" spans="2:179">
      <c r="B45" s="556" t="str">
        <f>names!$A785</f>
        <v>PTA</v>
      </c>
      <c r="C45" s="557">
        <v>158</v>
      </c>
      <c r="D45" s="557">
        <v>158</v>
      </c>
      <c r="E45" s="557" t="s">
        <v>249</v>
      </c>
      <c r="F45" s="557" t="s">
        <v>249</v>
      </c>
      <c r="G45" s="557" t="s">
        <v>249</v>
      </c>
      <c r="H45" s="557">
        <v>164</v>
      </c>
      <c r="I45" s="557">
        <v>164</v>
      </c>
      <c r="J45" s="557" t="s">
        <v>249</v>
      </c>
      <c r="K45" s="557" t="s">
        <v>249</v>
      </c>
      <c r="L45" s="557" t="s">
        <v>249</v>
      </c>
      <c r="M45" s="557">
        <v>174</v>
      </c>
      <c r="N45" s="557">
        <v>174</v>
      </c>
      <c r="O45" s="557" t="s">
        <v>249</v>
      </c>
      <c r="P45" s="557" t="s">
        <v>249</v>
      </c>
      <c r="Q45" s="557" t="s">
        <v>249</v>
      </c>
      <c r="R45" s="557">
        <v>152</v>
      </c>
      <c r="S45" s="557">
        <v>152</v>
      </c>
      <c r="T45" s="557" t="s">
        <v>249</v>
      </c>
      <c r="U45" s="557" t="s">
        <v>249</v>
      </c>
      <c r="V45" s="557" t="s">
        <v>249</v>
      </c>
      <c r="W45" s="558">
        <f t="shared" ref="W45:W46" si="415">C45+H45+M45+R45</f>
        <v>648</v>
      </c>
      <c r="X45" s="557">
        <f>D45+I45+N45+S45</f>
        <v>648</v>
      </c>
      <c r="Y45" s="557" t="s">
        <v>249</v>
      </c>
      <c r="Z45" s="557" t="s">
        <v>249</v>
      </c>
      <c r="AA45" s="557" t="s">
        <v>249</v>
      </c>
      <c r="AB45" s="557">
        <v>163</v>
      </c>
      <c r="AC45" s="557">
        <v>163</v>
      </c>
      <c r="AD45" s="557" t="s">
        <v>249</v>
      </c>
      <c r="AE45" s="557" t="s">
        <v>249</v>
      </c>
      <c r="AF45" s="557" t="s">
        <v>249</v>
      </c>
      <c r="AG45" s="557">
        <v>128</v>
      </c>
      <c r="AH45" s="557">
        <v>128</v>
      </c>
      <c r="AI45" s="557" t="s">
        <v>249</v>
      </c>
      <c r="AJ45" s="557" t="s">
        <v>249</v>
      </c>
      <c r="AK45" s="557" t="s">
        <v>249</v>
      </c>
      <c r="AL45" s="557">
        <v>139</v>
      </c>
      <c r="AM45" s="557">
        <v>139</v>
      </c>
      <c r="AN45" s="557" t="s">
        <v>249</v>
      </c>
      <c r="AO45" s="557" t="s">
        <v>249</v>
      </c>
      <c r="AP45" s="557" t="s">
        <v>249</v>
      </c>
      <c r="AQ45" s="557">
        <v>175</v>
      </c>
      <c r="AR45" s="557">
        <v>175</v>
      </c>
      <c r="AS45" s="557" t="s">
        <v>249</v>
      </c>
      <c r="AT45" s="557" t="s">
        <v>249</v>
      </c>
      <c r="AU45" s="557" t="s">
        <v>249</v>
      </c>
      <c r="AV45" s="558">
        <f t="shared" ref="AV45:AV46" si="416">AB45+AG45+AL45+AQ45</f>
        <v>605</v>
      </c>
      <c r="AW45" s="557">
        <f>AC45+AH45+AM45+AR45</f>
        <v>605</v>
      </c>
      <c r="AX45" s="557" t="s">
        <v>249</v>
      </c>
      <c r="AY45" s="557" t="s">
        <v>249</v>
      </c>
      <c r="AZ45" s="557" t="s">
        <v>249</v>
      </c>
      <c r="BA45" s="557">
        <v>143</v>
      </c>
      <c r="BB45" s="557">
        <v>143</v>
      </c>
      <c r="BC45" s="557" t="s">
        <v>249</v>
      </c>
      <c r="BD45" s="557" t="s">
        <v>249</v>
      </c>
      <c r="BE45" s="557" t="s">
        <v>249</v>
      </c>
      <c r="BF45" s="557">
        <v>146</v>
      </c>
      <c r="BG45" s="557">
        <v>146</v>
      </c>
      <c r="BH45" s="557" t="s">
        <v>249</v>
      </c>
      <c r="BI45" s="557" t="s">
        <v>249</v>
      </c>
      <c r="BJ45" s="557" t="s">
        <v>249</v>
      </c>
      <c r="BK45" s="557">
        <v>142</v>
      </c>
      <c r="BL45" s="557">
        <v>142</v>
      </c>
      <c r="BM45" s="557" t="s">
        <v>249</v>
      </c>
      <c r="BN45" s="557" t="s">
        <v>249</v>
      </c>
      <c r="BO45" s="557" t="s">
        <v>249</v>
      </c>
      <c r="BP45" s="557">
        <v>87</v>
      </c>
      <c r="BQ45" s="557">
        <v>87</v>
      </c>
      <c r="BR45" s="557" t="s">
        <v>249</v>
      </c>
      <c r="BS45" s="557" t="s">
        <v>249</v>
      </c>
      <c r="BT45" s="557" t="s">
        <v>249</v>
      </c>
      <c r="BU45" s="558">
        <f t="shared" ref="BU45:BU46" si="417">BA45+BF45+BK45+BP45</f>
        <v>518</v>
      </c>
      <c r="BV45" s="557">
        <f>BB45+BG45+BL45+BQ45</f>
        <v>518</v>
      </c>
      <c r="BW45" s="557" t="s">
        <v>249</v>
      </c>
      <c r="BX45" s="557" t="s">
        <v>249</v>
      </c>
      <c r="BY45" s="557" t="s">
        <v>249</v>
      </c>
      <c r="BZ45" s="557">
        <v>171</v>
      </c>
      <c r="CA45" s="557">
        <v>171</v>
      </c>
      <c r="CB45" s="557" t="s">
        <v>249</v>
      </c>
      <c r="CC45" s="557" t="s">
        <v>249</v>
      </c>
      <c r="CD45" s="557" t="s">
        <v>249</v>
      </c>
      <c r="CE45" s="557">
        <v>162</v>
      </c>
      <c r="CF45" s="557">
        <v>162</v>
      </c>
      <c r="CG45" s="557" t="s">
        <v>249</v>
      </c>
      <c r="CH45" s="557" t="s">
        <v>249</v>
      </c>
      <c r="CI45" s="557" t="s">
        <v>249</v>
      </c>
      <c r="CJ45" s="557">
        <v>116</v>
      </c>
      <c r="CK45" s="557">
        <v>116</v>
      </c>
      <c r="CL45" s="557" t="s">
        <v>249</v>
      </c>
      <c r="CM45" s="557" t="s">
        <v>249</v>
      </c>
      <c r="CN45" s="557" t="s">
        <v>249</v>
      </c>
      <c r="CO45" s="557">
        <v>123</v>
      </c>
      <c r="CP45" s="557">
        <v>123</v>
      </c>
      <c r="CQ45" s="557" t="s">
        <v>249</v>
      </c>
      <c r="CR45" s="557" t="s">
        <v>249</v>
      </c>
      <c r="CS45" s="557" t="s">
        <v>249</v>
      </c>
      <c r="CT45" s="558">
        <f t="shared" ref="CT45:CT46" si="418">BZ45+CE45+CJ45+CO45</f>
        <v>572</v>
      </c>
      <c r="CU45" s="557">
        <f>CA45+CF45+CK45+CP45</f>
        <v>572</v>
      </c>
      <c r="CV45" s="557" t="s">
        <v>249</v>
      </c>
      <c r="CW45" s="557" t="s">
        <v>249</v>
      </c>
      <c r="CX45" s="557" t="s">
        <v>249</v>
      </c>
      <c r="CY45" s="557">
        <v>107</v>
      </c>
      <c r="CZ45" s="557">
        <v>107</v>
      </c>
      <c r="DA45" s="557" t="s">
        <v>249</v>
      </c>
      <c r="DB45" s="557" t="s">
        <v>249</v>
      </c>
      <c r="DC45" s="557" t="s">
        <v>249</v>
      </c>
      <c r="DD45" s="557">
        <v>93</v>
      </c>
      <c r="DE45" s="557">
        <v>93</v>
      </c>
      <c r="DF45" s="557" t="s">
        <v>249</v>
      </c>
      <c r="DG45" s="557" t="s">
        <v>249</v>
      </c>
      <c r="DH45" s="557" t="s">
        <v>249</v>
      </c>
      <c r="DI45" s="557">
        <v>109</v>
      </c>
      <c r="DJ45" s="557">
        <v>109</v>
      </c>
      <c r="DK45" s="557" t="s">
        <v>249</v>
      </c>
      <c r="DL45" s="557" t="s">
        <v>249</v>
      </c>
      <c r="DM45" s="557" t="s">
        <v>249</v>
      </c>
      <c r="DN45" s="557">
        <v>102</v>
      </c>
      <c r="DO45" s="557">
        <v>101</v>
      </c>
      <c r="DP45" s="557" t="s">
        <v>249</v>
      </c>
      <c r="DQ45" s="557" t="s">
        <v>249</v>
      </c>
      <c r="DR45" s="557" t="s">
        <v>249</v>
      </c>
      <c r="DS45" s="558">
        <f t="shared" ref="DS45:DS46" si="419">CY45+DD45+DI45+DN45</f>
        <v>411</v>
      </c>
      <c r="DT45" s="557">
        <f>CZ45+DE45+DJ45+DO45</f>
        <v>410</v>
      </c>
      <c r="DU45" s="557" t="s">
        <v>249</v>
      </c>
      <c r="DV45" s="557" t="s">
        <v>249</v>
      </c>
      <c r="DW45" s="557" t="s">
        <v>249</v>
      </c>
      <c r="DX45" s="557">
        <v>146</v>
      </c>
      <c r="DY45" s="557">
        <v>146</v>
      </c>
      <c r="DZ45" s="557" t="s">
        <v>249</v>
      </c>
      <c r="EA45" s="557" t="s">
        <v>249</v>
      </c>
      <c r="EB45" s="557" t="s">
        <v>249</v>
      </c>
      <c r="EC45" s="557">
        <v>122</v>
      </c>
      <c r="ED45" s="557">
        <v>122</v>
      </c>
      <c r="EE45" s="557" t="s">
        <v>249</v>
      </c>
      <c r="EF45" s="557" t="s">
        <v>249</v>
      </c>
      <c r="EG45" s="557" t="s">
        <v>249</v>
      </c>
      <c r="EH45" s="557">
        <v>158</v>
      </c>
      <c r="EI45" s="557">
        <v>158</v>
      </c>
      <c r="EJ45" s="557" t="s">
        <v>249</v>
      </c>
      <c r="EK45" s="557" t="s">
        <v>249</v>
      </c>
      <c r="EL45" s="557" t="s">
        <v>249</v>
      </c>
      <c r="EM45" s="557">
        <v>155</v>
      </c>
      <c r="EN45" s="557">
        <v>155</v>
      </c>
      <c r="EO45" s="557" t="s">
        <v>249</v>
      </c>
      <c r="EP45" s="557" t="s">
        <v>249</v>
      </c>
      <c r="EQ45" s="557" t="s">
        <v>249</v>
      </c>
      <c r="ER45" s="558">
        <f t="shared" ref="ER45:ER46" si="420">DX45+EC45+EH45+EM45</f>
        <v>581</v>
      </c>
      <c r="ES45" s="557">
        <f>DY45+ED45+EI45+EN45</f>
        <v>581</v>
      </c>
      <c r="ET45" s="557" t="s">
        <v>249</v>
      </c>
      <c r="EU45" s="557" t="s">
        <v>249</v>
      </c>
      <c r="EV45" s="557" t="s">
        <v>249</v>
      </c>
      <c r="EW45" s="557">
        <v>87</v>
      </c>
      <c r="EX45" s="557">
        <v>87</v>
      </c>
      <c r="EY45" s="557" t="s">
        <v>249</v>
      </c>
      <c r="EZ45" s="557" t="s">
        <v>249</v>
      </c>
      <c r="FA45" s="557" t="s">
        <v>249</v>
      </c>
      <c r="FB45" s="557"/>
      <c r="FC45" s="557"/>
      <c r="FD45" s="557"/>
      <c r="FE45" s="557"/>
      <c r="FF45" s="557"/>
      <c r="FG45" s="557"/>
      <c r="FH45" s="557"/>
      <c r="FI45" s="557"/>
      <c r="FJ45" s="557"/>
      <c r="FK45" s="557"/>
      <c r="FL45" s="557"/>
      <c r="FM45" s="557"/>
      <c r="FN45" s="557"/>
      <c r="FO45" s="557"/>
      <c r="FP45" s="557"/>
      <c r="FQ45" s="558">
        <f t="shared" ref="FQ45:FQ46" si="421">EW45+FB45+FG45+FL45</f>
        <v>87</v>
      </c>
      <c r="FR45" s="557">
        <f>EX45+FC45+FH45+FM45</f>
        <v>87</v>
      </c>
      <c r="FS45" s="557" t="s">
        <v>249</v>
      </c>
      <c r="FT45" s="557" t="s">
        <v>249</v>
      </c>
      <c r="FU45" s="557" t="s">
        <v>249</v>
      </c>
    </row>
    <row r="46" spans="2:179">
      <c r="B46" s="100" t="str">
        <f>names!$A786</f>
        <v>Pozostałe</v>
      </c>
      <c r="C46" s="559">
        <v>352</v>
      </c>
      <c r="D46" s="559">
        <v>70</v>
      </c>
      <c r="E46" s="559">
        <v>221</v>
      </c>
      <c r="F46" s="559" t="s">
        <v>249</v>
      </c>
      <c r="G46" s="559">
        <v>105</v>
      </c>
      <c r="H46" s="559">
        <v>314</v>
      </c>
      <c r="I46" s="559">
        <v>55</v>
      </c>
      <c r="J46" s="559">
        <v>209</v>
      </c>
      <c r="K46" s="559" t="s">
        <v>249</v>
      </c>
      <c r="L46" s="559">
        <v>114</v>
      </c>
      <c r="M46" s="559">
        <v>349</v>
      </c>
      <c r="N46" s="559">
        <v>62</v>
      </c>
      <c r="O46" s="559">
        <v>220</v>
      </c>
      <c r="P46" s="559" t="s">
        <v>249</v>
      </c>
      <c r="Q46" s="559">
        <v>106</v>
      </c>
      <c r="R46" s="559">
        <v>338</v>
      </c>
      <c r="S46" s="559">
        <v>67</v>
      </c>
      <c r="T46" s="559">
        <v>211</v>
      </c>
      <c r="U46" s="559" t="s">
        <v>249</v>
      </c>
      <c r="V46" s="559">
        <v>71</v>
      </c>
      <c r="W46" s="365">
        <f t="shared" si="415"/>
        <v>1353</v>
      </c>
      <c r="X46" s="559">
        <f>D46+I46+N46+S46</f>
        <v>254</v>
      </c>
      <c r="Y46" s="559">
        <f>E46+J46+O46+T46</f>
        <v>861</v>
      </c>
      <c r="Z46" s="559" t="s">
        <v>249</v>
      </c>
      <c r="AA46" s="559">
        <f>G46+L46+Q46+V46</f>
        <v>396</v>
      </c>
      <c r="AB46" s="559">
        <v>317</v>
      </c>
      <c r="AC46" s="559">
        <v>68</v>
      </c>
      <c r="AD46" s="559">
        <v>228</v>
      </c>
      <c r="AE46" s="559" t="s">
        <v>249</v>
      </c>
      <c r="AF46" s="559">
        <v>111</v>
      </c>
      <c r="AG46" s="559">
        <v>181</v>
      </c>
      <c r="AH46" s="559">
        <v>62</v>
      </c>
      <c r="AI46" s="559">
        <v>116</v>
      </c>
      <c r="AJ46" s="559" t="s">
        <v>249</v>
      </c>
      <c r="AK46" s="559">
        <v>105</v>
      </c>
      <c r="AL46" s="559">
        <v>288</v>
      </c>
      <c r="AM46" s="559">
        <v>66</v>
      </c>
      <c r="AN46" s="559">
        <v>184</v>
      </c>
      <c r="AO46" s="559" t="s">
        <v>249</v>
      </c>
      <c r="AP46" s="559">
        <v>120</v>
      </c>
      <c r="AQ46" s="559">
        <v>362</v>
      </c>
      <c r="AR46" s="559">
        <v>65</v>
      </c>
      <c r="AS46" s="559">
        <v>275</v>
      </c>
      <c r="AT46" s="559" t="s">
        <v>249</v>
      </c>
      <c r="AU46" s="559">
        <v>95</v>
      </c>
      <c r="AV46" s="365">
        <f t="shared" si="416"/>
        <v>1148</v>
      </c>
      <c r="AW46" s="559">
        <f>AC46+AH46+AM46+AR46</f>
        <v>261</v>
      </c>
      <c r="AX46" s="559">
        <f>AD46+AI46+AN46+AS46</f>
        <v>803</v>
      </c>
      <c r="AY46" s="559" t="s">
        <v>249</v>
      </c>
      <c r="AZ46" s="559">
        <f>AF46+AK46+AP46+AU46</f>
        <v>431</v>
      </c>
      <c r="BA46" s="559">
        <v>353</v>
      </c>
      <c r="BB46" s="559">
        <v>55</v>
      </c>
      <c r="BC46" s="559">
        <v>269</v>
      </c>
      <c r="BD46" s="559" t="s">
        <v>249</v>
      </c>
      <c r="BE46" s="559">
        <v>94</v>
      </c>
      <c r="BF46" s="559">
        <v>348</v>
      </c>
      <c r="BG46" s="559">
        <v>27</v>
      </c>
      <c r="BH46" s="559">
        <v>244</v>
      </c>
      <c r="BI46" s="559" t="s">
        <v>249</v>
      </c>
      <c r="BJ46" s="559">
        <v>82</v>
      </c>
      <c r="BK46" s="559">
        <v>304</v>
      </c>
      <c r="BL46" s="559">
        <v>62</v>
      </c>
      <c r="BM46" s="559">
        <v>219</v>
      </c>
      <c r="BN46" s="559" t="s">
        <v>249</v>
      </c>
      <c r="BO46" s="559">
        <v>120</v>
      </c>
      <c r="BP46" s="559">
        <v>342</v>
      </c>
      <c r="BQ46" s="559">
        <v>71</v>
      </c>
      <c r="BR46" s="559">
        <v>274</v>
      </c>
      <c r="BS46" s="559" t="s">
        <v>249</v>
      </c>
      <c r="BT46" s="559">
        <v>97</v>
      </c>
      <c r="BU46" s="365">
        <f t="shared" si="417"/>
        <v>1347</v>
      </c>
      <c r="BV46" s="559">
        <f>BB46+BG46+BL46+BQ46</f>
        <v>215</v>
      </c>
      <c r="BW46" s="559">
        <f>BC46+BH46+BM46+BR46</f>
        <v>1006</v>
      </c>
      <c r="BX46" s="559" t="s">
        <v>249</v>
      </c>
      <c r="BY46" s="559">
        <f>BE46+BJ46+BO46+BT46</f>
        <v>393</v>
      </c>
      <c r="BZ46" s="559">
        <v>357</v>
      </c>
      <c r="CA46" s="559">
        <v>68</v>
      </c>
      <c r="CB46" s="559">
        <v>280</v>
      </c>
      <c r="CC46" s="559" t="s">
        <v>249</v>
      </c>
      <c r="CD46" s="559">
        <v>107</v>
      </c>
      <c r="CE46" s="559">
        <v>268</v>
      </c>
      <c r="CF46" s="559">
        <v>58</v>
      </c>
      <c r="CG46" s="559">
        <v>260</v>
      </c>
      <c r="CH46" s="559" t="s">
        <v>249</v>
      </c>
      <c r="CI46" s="559">
        <v>115</v>
      </c>
      <c r="CJ46" s="559">
        <v>279</v>
      </c>
      <c r="CK46" s="559">
        <v>63</v>
      </c>
      <c r="CL46" s="559">
        <v>205</v>
      </c>
      <c r="CM46" s="559" t="s">
        <v>249</v>
      </c>
      <c r="CN46" s="559">
        <v>99</v>
      </c>
      <c r="CO46" s="559">
        <v>271</v>
      </c>
      <c r="CP46" s="559">
        <v>61</v>
      </c>
      <c r="CQ46" s="559">
        <v>227</v>
      </c>
      <c r="CR46" s="559" t="s">
        <v>249</v>
      </c>
      <c r="CS46" s="559">
        <v>91</v>
      </c>
      <c r="CT46" s="365">
        <f t="shared" si="418"/>
        <v>1175</v>
      </c>
      <c r="CU46" s="559">
        <f>CA46+CF46+CK46+CP46</f>
        <v>250</v>
      </c>
      <c r="CV46" s="559">
        <f>CB46+CG46+CL46+CQ46</f>
        <v>972</v>
      </c>
      <c r="CW46" s="559" t="s">
        <v>249</v>
      </c>
      <c r="CX46" s="559">
        <f>CD46+CI46+CN46+CS46</f>
        <v>412</v>
      </c>
      <c r="CY46" s="559">
        <v>356</v>
      </c>
      <c r="CZ46" s="559">
        <v>57</v>
      </c>
      <c r="DA46" s="559">
        <v>305</v>
      </c>
      <c r="DB46" s="559" t="s">
        <v>249</v>
      </c>
      <c r="DC46" s="559"/>
      <c r="DD46" s="559">
        <v>174</v>
      </c>
      <c r="DE46" s="559">
        <v>56</v>
      </c>
      <c r="DF46" s="559">
        <v>98</v>
      </c>
      <c r="DG46" s="559" t="s">
        <v>249</v>
      </c>
      <c r="DH46" s="559">
        <v>83</v>
      </c>
      <c r="DI46" s="559">
        <v>253</v>
      </c>
      <c r="DJ46" s="559">
        <v>52</v>
      </c>
      <c r="DK46" s="559">
        <v>188</v>
      </c>
      <c r="DL46" s="559" t="s">
        <v>249</v>
      </c>
      <c r="DM46" s="559">
        <v>113</v>
      </c>
      <c r="DN46" s="559">
        <v>331</v>
      </c>
      <c r="DO46" s="559">
        <v>37</v>
      </c>
      <c r="DP46" s="559">
        <v>275</v>
      </c>
      <c r="DQ46" s="559" t="s">
        <v>249</v>
      </c>
      <c r="DR46" s="559">
        <v>44</v>
      </c>
      <c r="DS46" s="365">
        <f t="shared" si="419"/>
        <v>1114</v>
      </c>
      <c r="DT46" s="559">
        <f>CZ46+DE46+DJ46+DO46</f>
        <v>202</v>
      </c>
      <c r="DU46" s="559">
        <f>DA46+DF46+DK46+DP46</f>
        <v>866</v>
      </c>
      <c r="DV46" s="559" t="s">
        <v>249</v>
      </c>
      <c r="DW46" s="559">
        <f>DC46+DH46+DM46+DR46</f>
        <v>240</v>
      </c>
      <c r="DX46" s="559">
        <v>342</v>
      </c>
      <c r="DY46" s="559">
        <v>65</v>
      </c>
      <c r="DZ46" s="559">
        <v>264</v>
      </c>
      <c r="EA46" s="559" t="s">
        <v>249</v>
      </c>
      <c r="EB46" s="559">
        <v>95</v>
      </c>
      <c r="EC46" s="559">
        <v>248</v>
      </c>
      <c r="ED46" s="559">
        <v>52</v>
      </c>
      <c r="EE46" s="559">
        <v>183</v>
      </c>
      <c r="EF46" s="559" t="s">
        <v>249</v>
      </c>
      <c r="EG46" s="559">
        <v>100</v>
      </c>
      <c r="EH46" s="559">
        <v>271</v>
      </c>
      <c r="EI46" s="559">
        <v>64</v>
      </c>
      <c r="EJ46" s="559">
        <v>191</v>
      </c>
      <c r="EK46" s="559" t="s">
        <v>249</v>
      </c>
      <c r="EL46" s="559">
        <v>118</v>
      </c>
      <c r="EM46" s="559">
        <v>324</v>
      </c>
      <c r="EN46" s="559">
        <v>66</v>
      </c>
      <c r="EO46" s="559">
        <v>246</v>
      </c>
      <c r="EP46" s="559" t="s">
        <v>249</v>
      </c>
      <c r="EQ46" s="559">
        <v>77</v>
      </c>
      <c r="ER46" s="365">
        <f t="shared" si="420"/>
        <v>1185</v>
      </c>
      <c r="ES46" s="559">
        <f>DY46+ED46+EI46+EN46</f>
        <v>247</v>
      </c>
      <c r="ET46" s="559">
        <f>DZ46+EE46+EJ46+EO46</f>
        <v>884</v>
      </c>
      <c r="EU46" s="559" t="s">
        <v>249</v>
      </c>
      <c r="EV46" s="559">
        <f>EB46+EG46+EL46+EQ46</f>
        <v>390</v>
      </c>
      <c r="EW46" s="559">
        <v>254</v>
      </c>
      <c r="EX46" s="559">
        <v>61</v>
      </c>
      <c r="EY46" s="559">
        <v>195</v>
      </c>
      <c r="EZ46" s="559" t="s">
        <v>249</v>
      </c>
      <c r="FA46" s="559">
        <v>64</v>
      </c>
      <c r="FB46" s="559"/>
      <c r="FC46" s="559"/>
      <c r="FD46" s="559"/>
      <c r="FE46" s="559"/>
      <c r="FF46" s="559"/>
      <c r="FG46" s="559"/>
      <c r="FH46" s="559"/>
      <c r="FI46" s="559"/>
      <c r="FJ46" s="559"/>
      <c r="FK46" s="559"/>
      <c r="FL46" s="559"/>
      <c r="FM46" s="559"/>
      <c r="FN46" s="559"/>
      <c r="FO46" s="559"/>
      <c r="FP46" s="559"/>
      <c r="FQ46" s="365">
        <f t="shared" si="421"/>
        <v>254</v>
      </c>
      <c r="FR46" s="559">
        <f>EX46+FC46+FH46+FM46</f>
        <v>61</v>
      </c>
      <c r="FS46" s="559">
        <f>EY46+FD46+FI46+FN46</f>
        <v>195</v>
      </c>
      <c r="FT46" s="559" t="s">
        <v>249</v>
      </c>
      <c r="FU46" s="559">
        <f>FA46+FF46+FK46+FP46</f>
        <v>64</v>
      </c>
    </row>
    <row r="47" spans="2:179" ht="15.75" hidden="1" thickBot="1">
      <c r="B47" s="551"/>
      <c r="C47" s="539"/>
      <c r="D47" s="560"/>
      <c r="E47" s="539"/>
      <c r="F47" s="539"/>
      <c r="G47" s="539"/>
      <c r="H47" s="539"/>
      <c r="I47" s="560"/>
      <c r="J47" s="539"/>
      <c r="K47" s="539"/>
      <c r="L47" s="539"/>
      <c r="M47" s="539"/>
      <c r="N47" s="560"/>
      <c r="O47" s="539"/>
      <c r="P47" s="539"/>
      <c r="Q47" s="539"/>
      <c r="R47" s="539"/>
      <c r="S47" s="560"/>
      <c r="T47" s="539"/>
      <c r="U47" s="539"/>
      <c r="V47" s="539"/>
      <c r="W47" s="364"/>
      <c r="X47" s="560"/>
      <c r="Y47" s="539"/>
      <c r="Z47" s="539"/>
      <c r="AA47" s="539"/>
      <c r="AB47" s="539"/>
      <c r="AC47" s="560"/>
      <c r="AD47" s="539"/>
      <c r="AE47" s="539"/>
      <c r="AF47" s="539"/>
      <c r="AG47" s="539"/>
      <c r="AH47" s="560"/>
      <c r="AI47" s="539"/>
      <c r="AJ47" s="539"/>
      <c r="AK47" s="539"/>
      <c r="AL47" s="539"/>
      <c r="AM47" s="560"/>
      <c r="AN47" s="539"/>
      <c r="AO47" s="539"/>
      <c r="AP47" s="539"/>
      <c r="AQ47" s="539"/>
      <c r="AR47" s="560"/>
      <c r="AS47" s="539"/>
      <c r="AT47" s="539"/>
      <c r="AU47" s="539"/>
      <c r="AV47" s="364"/>
      <c r="AW47" s="560"/>
      <c r="AX47" s="539"/>
      <c r="AY47" s="539"/>
      <c r="AZ47" s="539"/>
      <c r="BA47" s="539"/>
      <c r="BB47" s="560"/>
      <c r="BC47" s="539"/>
      <c r="BD47" s="539"/>
      <c r="BE47" s="539"/>
      <c r="BF47" s="539"/>
      <c r="BG47" s="560"/>
      <c r="BH47" s="539"/>
      <c r="BI47" s="539"/>
      <c r="BJ47" s="539"/>
      <c r="BK47" s="539"/>
      <c r="BL47" s="560"/>
      <c r="BM47" s="539"/>
      <c r="BN47" s="539"/>
      <c r="BO47" s="539"/>
      <c r="BP47" s="539"/>
      <c r="BQ47" s="560"/>
      <c r="BR47" s="539"/>
      <c r="BS47" s="539"/>
      <c r="BT47" s="539"/>
      <c r="BU47" s="364"/>
      <c r="BV47" s="560"/>
      <c r="BW47" s="539"/>
      <c r="BX47" s="539"/>
      <c r="BY47" s="539"/>
      <c r="BZ47" s="539"/>
      <c r="CA47" s="560"/>
      <c r="CB47" s="539"/>
      <c r="CC47" s="539"/>
      <c r="CD47" s="539"/>
      <c r="CE47" s="539"/>
      <c r="CF47" s="560"/>
      <c r="CG47" s="539"/>
      <c r="CH47" s="539"/>
      <c r="CI47" s="539"/>
      <c r="CJ47" s="539"/>
      <c r="CK47" s="560"/>
      <c r="CL47" s="539"/>
      <c r="CM47" s="539"/>
      <c r="CN47" s="539"/>
      <c r="CO47" s="539"/>
      <c r="CP47" s="560"/>
      <c r="CQ47" s="539"/>
      <c r="CR47" s="539"/>
      <c r="CS47" s="539"/>
      <c r="CT47" s="364"/>
      <c r="CU47" s="560"/>
      <c r="CV47" s="539"/>
      <c r="CW47" s="539"/>
      <c r="CX47" s="539"/>
      <c r="CY47" s="539"/>
      <c r="CZ47" s="560"/>
      <c r="DA47" s="539"/>
      <c r="DB47" s="539"/>
      <c r="DC47" s="539"/>
      <c r="DD47" s="539"/>
      <c r="DE47" s="560"/>
      <c r="DF47" s="539"/>
      <c r="DG47" s="539"/>
      <c r="DH47" s="539"/>
      <c r="DI47" s="539"/>
      <c r="DJ47" s="560"/>
      <c r="DK47" s="539"/>
      <c r="DL47" s="539"/>
      <c r="DM47" s="539"/>
      <c r="DN47" s="539"/>
      <c r="DO47" s="560"/>
      <c r="DP47" s="539"/>
      <c r="DQ47" s="539"/>
      <c r="DR47" s="539"/>
      <c r="DS47" s="364"/>
      <c r="DT47" s="560"/>
      <c r="DU47" s="539"/>
      <c r="DV47" s="539"/>
      <c r="DW47" s="539"/>
      <c r="DX47" s="539"/>
      <c r="DY47" s="560"/>
      <c r="DZ47" s="539"/>
      <c r="EA47" s="539"/>
      <c r="EB47" s="539"/>
      <c r="EC47" s="539"/>
      <c r="ED47" s="539"/>
      <c r="EE47" s="539"/>
      <c r="EF47" s="539"/>
      <c r="EG47" s="539"/>
      <c r="EH47" s="539"/>
      <c r="EI47" s="539"/>
      <c r="EJ47" s="539"/>
      <c r="EK47" s="539"/>
      <c r="EL47" s="539"/>
      <c r="EM47" s="539"/>
      <c r="EN47" s="560"/>
      <c r="EO47" s="539"/>
      <c r="EP47" s="539"/>
      <c r="EQ47" s="539"/>
      <c r="ER47" s="364"/>
      <c r="ES47" s="560"/>
      <c r="ET47" s="539"/>
      <c r="EU47" s="539"/>
      <c r="EV47" s="539"/>
      <c r="EW47" s="539"/>
      <c r="EX47" s="560"/>
      <c r="EY47" s="539"/>
      <c r="EZ47" s="539"/>
      <c r="FA47" s="539"/>
      <c r="FB47" s="539"/>
      <c r="FC47" s="560"/>
      <c r="FD47" s="539"/>
      <c r="FE47" s="539"/>
      <c r="FF47" s="539"/>
      <c r="FG47" s="539"/>
      <c r="FH47" s="560"/>
      <c r="FI47" s="539"/>
      <c r="FJ47" s="539"/>
      <c r="FK47" s="539"/>
      <c r="FL47" s="539"/>
      <c r="FM47" s="560"/>
      <c r="FN47" s="539"/>
      <c r="FO47" s="539"/>
      <c r="FP47" s="539"/>
      <c r="FQ47" s="364"/>
      <c r="FR47" s="560"/>
      <c r="FS47" s="539"/>
      <c r="FT47" s="539"/>
      <c r="FU47" s="539"/>
    </row>
    <row r="48" spans="2:179" ht="15.75" hidden="1" thickBot="1">
      <c r="B48" s="805" t="str">
        <f>names!$A788</f>
        <v>Produkcja razem</v>
      </c>
      <c r="C48" s="538">
        <f>C11+C25</f>
        <v>8397</v>
      </c>
      <c r="D48" s="538">
        <f>D11+D25</f>
        <v>3820</v>
      </c>
      <c r="E48" s="538">
        <f>E11+E25</f>
        <v>2021</v>
      </c>
      <c r="F48" s="538">
        <f>F11</f>
        <v>2079</v>
      </c>
      <c r="G48" s="538">
        <f>G25</f>
        <v>427</v>
      </c>
      <c r="H48" s="538">
        <f>H11+H25</f>
        <v>8751</v>
      </c>
      <c r="I48" s="538">
        <f>I11+I25</f>
        <v>3925</v>
      </c>
      <c r="J48" s="538">
        <f>J11+J25</f>
        <v>2090</v>
      </c>
      <c r="K48" s="538">
        <f>K11+K25</f>
        <v>2362</v>
      </c>
      <c r="L48" s="538">
        <f>L25</f>
        <v>367</v>
      </c>
      <c r="M48" s="538">
        <f>M11+M25</f>
        <v>9274</v>
      </c>
      <c r="N48" s="538">
        <f>N11+N25</f>
        <v>4010</v>
      </c>
      <c r="O48" s="538">
        <f>O11+O25</f>
        <v>2326</v>
      </c>
      <c r="P48" s="538">
        <f>P11+P25</f>
        <v>2491</v>
      </c>
      <c r="Q48" s="538">
        <f>Q25</f>
        <v>400</v>
      </c>
      <c r="R48" s="538">
        <f>R11+R25</f>
        <v>8766</v>
      </c>
      <c r="S48" s="538">
        <f>S11+S25</f>
        <v>3958</v>
      </c>
      <c r="T48" s="538">
        <f>T11+T25</f>
        <v>2134</v>
      </c>
      <c r="U48" s="538">
        <f>U11+U25</f>
        <v>2241</v>
      </c>
      <c r="V48" s="538">
        <f>V25</f>
        <v>353</v>
      </c>
      <c r="W48" s="349">
        <f>W11+W25</f>
        <v>35188</v>
      </c>
      <c r="X48" s="349">
        <f>X11+X25</f>
        <v>15713</v>
      </c>
      <c r="Y48" s="349">
        <f>Y11+Y25</f>
        <v>8571</v>
      </c>
      <c r="Z48" s="349">
        <f>Z11+Z25</f>
        <v>9173</v>
      </c>
      <c r="AA48" s="349">
        <f>AA25</f>
        <v>1547</v>
      </c>
      <c r="AB48" s="349">
        <f>AB11+AB25</f>
        <v>7939</v>
      </c>
      <c r="AC48" s="349">
        <f>AC11+AC25</f>
        <v>3711</v>
      </c>
      <c r="AD48" s="349">
        <f>AD11+AD25</f>
        <v>1858</v>
      </c>
      <c r="AE48" s="349">
        <f>AE11+AE25</f>
        <v>1913</v>
      </c>
      <c r="AF48" s="349">
        <f>AF25</f>
        <v>429</v>
      </c>
      <c r="AG48" s="349">
        <f>AG11+AG25</f>
        <v>6500</v>
      </c>
      <c r="AH48" s="349">
        <f>AH11+AH25</f>
        <v>3303</v>
      </c>
      <c r="AI48" s="349">
        <f>AI11+AI25</f>
        <v>1003</v>
      </c>
      <c r="AJ48" s="349">
        <f>AJ11+AJ25</f>
        <v>1811</v>
      </c>
      <c r="AK48" s="349">
        <f>AK25</f>
        <v>387</v>
      </c>
      <c r="AL48" s="349">
        <f>AL11+AL25</f>
        <v>8498</v>
      </c>
      <c r="AM48" s="349">
        <f>AM11+AM25</f>
        <v>4084</v>
      </c>
      <c r="AN48" s="349">
        <f>AN11+AN25</f>
        <v>2039</v>
      </c>
      <c r="AO48" s="349">
        <f>AO11+AO25</f>
        <v>1975</v>
      </c>
      <c r="AP48" s="349">
        <f>AP25</f>
        <v>453</v>
      </c>
      <c r="AQ48" s="349">
        <f>AQ11+AQ25</f>
        <v>7764</v>
      </c>
      <c r="AR48" s="349">
        <f>AR11+AR25</f>
        <v>3443</v>
      </c>
      <c r="AS48" s="349">
        <f>AS11+AS25</f>
        <v>2065</v>
      </c>
      <c r="AT48" s="349">
        <f>AT11+AT25</f>
        <v>1834</v>
      </c>
      <c r="AU48" s="349">
        <f>AU25</f>
        <v>404</v>
      </c>
      <c r="AV48" s="349">
        <f>AV11+AV25</f>
        <v>30701</v>
      </c>
      <c r="AW48" s="349">
        <f>AW11+AW25</f>
        <v>14541</v>
      </c>
      <c r="AX48" s="349">
        <f>AX11+AX25</f>
        <v>6965</v>
      </c>
      <c r="AY48" s="349">
        <f>AY11+AY25</f>
        <v>7533</v>
      </c>
      <c r="AZ48" s="349">
        <f>AZ25</f>
        <v>1673</v>
      </c>
      <c r="BA48" s="538">
        <f>BA11+BA25</f>
        <v>6653</v>
      </c>
      <c r="BB48" s="538">
        <f>BB11+BB25</f>
        <v>2846</v>
      </c>
      <c r="BC48" s="538">
        <f>BC11+BC25</f>
        <v>1921</v>
      </c>
      <c r="BD48" s="538">
        <f>BD11+BD25</f>
        <v>1477</v>
      </c>
      <c r="BE48" s="538">
        <f>BE25</f>
        <v>422</v>
      </c>
      <c r="BF48" s="538">
        <f>BF11+BF25</f>
        <v>7531</v>
      </c>
      <c r="BG48" s="538">
        <f>BG11+BG25</f>
        <v>3288</v>
      </c>
      <c r="BH48" s="538">
        <f>BH11+BH25</f>
        <v>1931</v>
      </c>
      <c r="BI48" s="538">
        <f>BI11+BI25</f>
        <v>1855</v>
      </c>
      <c r="BJ48" s="538">
        <f>BJ25</f>
        <v>318</v>
      </c>
      <c r="BK48" s="538">
        <f>BK11+BK25</f>
        <v>8800</v>
      </c>
      <c r="BL48" s="538">
        <f>BL11+BL25</f>
        <v>4041</v>
      </c>
      <c r="BM48" s="538">
        <f>BM11+BM25</f>
        <v>2124</v>
      </c>
      <c r="BN48" s="538">
        <f>BN11+BN25</f>
        <v>2231</v>
      </c>
      <c r="BO48" s="538">
        <f>BO25</f>
        <v>460</v>
      </c>
      <c r="BP48" s="538">
        <f>BP11+BP25</f>
        <v>8775</v>
      </c>
      <c r="BQ48" s="538">
        <f>BQ11+BQ25</f>
        <v>3814</v>
      </c>
      <c r="BR48" s="538">
        <f>BR11+BR25</f>
        <v>2214</v>
      </c>
      <c r="BS48" s="538">
        <f>BS11+BS25</f>
        <v>2395</v>
      </c>
      <c r="BT48" s="538">
        <f>BT25</f>
        <v>406</v>
      </c>
      <c r="BU48" s="349">
        <f>BU11+BU25</f>
        <v>31759</v>
      </c>
      <c r="BV48" s="349">
        <f>BV11+BV25</f>
        <v>13989</v>
      </c>
      <c r="BW48" s="349">
        <f>BW11+BW25</f>
        <v>8190</v>
      </c>
      <c r="BX48" s="349">
        <f>BX11+BX25</f>
        <v>7958</v>
      </c>
      <c r="BY48" s="349">
        <f>BY25</f>
        <v>1606</v>
      </c>
      <c r="BZ48" s="538">
        <f>BZ11+BZ25</f>
        <v>8168</v>
      </c>
      <c r="CA48" s="538">
        <f>CA11+CA25</f>
        <v>3664</v>
      </c>
      <c r="CB48" s="538">
        <f>CB11+CB25</f>
        <v>1981</v>
      </c>
      <c r="CC48" s="538">
        <f>CC11+CC25</f>
        <v>2158</v>
      </c>
      <c r="CD48" s="538">
        <f>CD25</f>
        <v>371</v>
      </c>
      <c r="CE48" s="538">
        <f>CE11+CE25</f>
        <v>7743</v>
      </c>
      <c r="CF48" s="538">
        <f>CF11+CF25</f>
        <v>4117</v>
      </c>
      <c r="CG48" s="538">
        <f>CG11+CG25</f>
        <v>1950</v>
      </c>
      <c r="CH48" s="538">
        <f>CH11+CH25</f>
        <v>1290</v>
      </c>
      <c r="CI48" s="538">
        <f>CI25</f>
        <v>443</v>
      </c>
      <c r="CJ48" s="538">
        <f>CJ11+CJ25</f>
        <v>10626</v>
      </c>
      <c r="CK48" s="538">
        <f>CK11+CK25</f>
        <v>5805</v>
      </c>
      <c r="CL48" s="538">
        <f>CL11+CL25</f>
        <v>2175</v>
      </c>
      <c r="CM48" s="538">
        <f>CM11+CM25</f>
        <v>2383</v>
      </c>
      <c r="CN48" s="538">
        <f>CN25</f>
        <v>338</v>
      </c>
      <c r="CO48" s="538">
        <f>CO11+CO25</f>
        <v>11379</v>
      </c>
      <c r="CP48" s="538">
        <f>CP11+CP25</f>
        <v>6591</v>
      </c>
      <c r="CQ48" s="538">
        <f>CQ11+CQ25</f>
        <v>2224</v>
      </c>
      <c r="CR48" s="538">
        <f>CR11+CR25</f>
        <v>2361</v>
      </c>
      <c r="CS48" s="538">
        <f>CS25</f>
        <v>305</v>
      </c>
      <c r="CT48" s="349">
        <f>CT11+CT25</f>
        <v>37916</v>
      </c>
      <c r="CU48" s="349">
        <f>CU11+CU25</f>
        <v>20177</v>
      </c>
      <c r="CV48" s="349">
        <f>CV11+CV25</f>
        <v>8330</v>
      </c>
      <c r="CW48" s="349">
        <f>CW11+CW25</f>
        <v>8192</v>
      </c>
      <c r="CX48" s="349">
        <f>CX25</f>
        <v>1457</v>
      </c>
      <c r="CY48" s="538">
        <f>CY11+CY25</f>
        <v>9646</v>
      </c>
      <c r="CZ48" s="538">
        <f>CZ11+CZ25</f>
        <v>5271</v>
      </c>
      <c r="DA48" s="538">
        <f>DA11+DA25</f>
        <v>1993</v>
      </c>
      <c r="DB48" s="538">
        <f>DB11+DB25</f>
        <v>2015</v>
      </c>
      <c r="DC48" s="538">
        <f>DC25</f>
        <v>321</v>
      </c>
      <c r="DD48" s="538">
        <f>DD11+DD25</f>
        <v>9766</v>
      </c>
      <c r="DE48" s="538">
        <f>DE11+DE25</f>
        <v>5337</v>
      </c>
      <c r="DF48" s="538">
        <f>DF11+DF25</f>
        <v>1947</v>
      </c>
      <c r="DG48" s="538">
        <f>DG11+DG25</f>
        <v>2184</v>
      </c>
      <c r="DH48" s="538">
        <f>DH25</f>
        <v>324</v>
      </c>
      <c r="DI48" s="538">
        <v>10432</v>
      </c>
      <c r="DJ48" s="538">
        <f>DJ11+DJ25</f>
        <v>5778</v>
      </c>
      <c r="DK48" s="538">
        <f>DK11+DK25</f>
        <v>2121</v>
      </c>
      <c r="DL48" s="538">
        <f>DL11+DL25</f>
        <v>2302</v>
      </c>
      <c r="DM48" s="538">
        <f>DM25</f>
        <v>364</v>
      </c>
      <c r="DN48" s="538">
        <f>DN11+DN25</f>
        <v>10181</v>
      </c>
      <c r="DO48" s="538">
        <f>DO11+DO25</f>
        <v>5685</v>
      </c>
      <c r="DP48" s="538">
        <f>DP11+DP25</f>
        <v>2034</v>
      </c>
      <c r="DQ48" s="538">
        <f>DQ11+DQ25</f>
        <v>2129</v>
      </c>
      <c r="DR48" s="538">
        <f>DR25</f>
        <v>315</v>
      </c>
      <c r="DS48" s="349">
        <f>DS11+DS25</f>
        <v>40025</v>
      </c>
      <c r="DT48" s="349">
        <f>DT11+DT25</f>
        <v>22018</v>
      </c>
      <c r="DU48" s="349">
        <f>DU11+DU25</f>
        <v>8095</v>
      </c>
      <c r="DV48" s="349">
        <f>DV11+DV25</f>
        <v>8630</v>
      </c>
      <c r="DW48" s="349">
        <f>DW25</f>
        <v>1324</v>
      </c>
      <c r="DX48" s="538">
        <f>DX11+DX25</f>
        <v>10137</v>
      </c>
      <c r="DY48" s="538">
        <f>DY11+DY25</f>
        <v>5829</v>
      </c>
      <c r="DZ48" s="538">
        <f>DZ11+DZ25</f>
        <v>2050</v>
      </c>
      <c r="EA48" s="538">
        <f>EA11+EA25</f>
        <v>1933</v>
      </c>
      <c r="EB48" s="538">
        <f>EB25</f>
        <v>411</v>
      </c>
      <c r="EC48" s="538">
        <f>EC11+EC25</f>
        <v>10042</v>
      </c>
      <c r="ED48" s="538">
        <f>ED11+ED25</f>
        <v>5904</v>
      </c>
      <c r="EE48" s="538">
        <f>EE11+EE25</f>
        <v>1300</v>
      </c>
      <c r="EF48" s="538">
        <f>EF11+EF25</f>
        <v>2455</v>
      </c>
      <c r="EG48" s="538">
        <f>EG25</f>
        <v>398</v>
      </c>
      <c r="EH48" s="538">
        <f>EH11+EH25</f>
        <v>10899</v>
      </c>
      <c r="EI48" s="538">
        <f>EI11+EI25</f>
        <v>6400</v>
      </c>
      <c r="EJ48" s="538">
        <f>EJ11+EJ25</f>
        <v>1874</v>
      </c>
      <c r="EK48" s="538">
        <f>EK11+EK25</f>
        <v>2304</v>
      </c>
      <c r="EL48" s="538">
        <f>EL25</f>
        <v>458</v>
      </c>
      <c r="EM48" s="538">
        <f>EM11+EM25</f>
        <v>10121</v>
      </c>
      <c r="EN48" s="538">
        <f>EN11+EN25</f>
        <v>5920</v>
      </c>
      <c r="EO48" s="538">
        <f>EO11+EO25</f>
        <v>2185</v>
      </c>
      <c r="EP48" s="538">
        <f>EP11+EP25</f>
        <v>1754</v>
      </c>
      <c r="EQ48" s="538">
        <f>EQ25</f>
        <v>386</v>
      </c>
      <c r="ER48" s="349">
        <f>ER11+ER25</f>
        <v>41178</v>
      </c>
      <c r="ES48" s="349">
        <f>ES11+ES25</f>
        <v>23971</v>
      </c>
      <c r="ET48" s="349">
        <f>ET11+ET25</f>
        <v>7409</v>
      </c>
      <c r="EU48" s="349">
        <f>EU11+EU25</f>
        <v>8446</v>
      </c>
      <c r="EV48" s="349">
        <f>EV25</f>
        <v>1632</v>
      </c>
      <c r="EW48" s="538">
        <f>EW11+EW25</f>
        <v>9303</v>
      </c>
      <c r="EX48" s="538">
        <f>EX11+EX25</f>
        <v>4964</v>
      </c>
      <c r="EY48" s="538">
        <f>EY11+EY25</f>
        <v>1782</v>
      </c>
      <c r="EZ48" s="538">
        <f>EZ11+EZ25</f>
        <v>2236</v>
      </c>
      <c r="FA48" s="538">
        <f>FA25</f>
        <v>312</v>
      </c>
      <c r="FB48" s="538">
        <f>FB11+FB25</f>
        <v>0</v>
      </c>
      <c r="FC48" s="538">
        <f>FC11+FC25</f>
        <v>0</v>
      </c>
      <c r="FD48" s="538">
        <f>FD11+FD25</f>
        <v>0</v>
      </c>
      <c r="FE48" s="538">
        <f>FE11+FE25</f>
        <v>0</v>
      </c>
      <c r="FF48" s="538">
        <f>FF25</f>
        <v>0</v>
      </c>
      <c r="FG48" s="538">
        <f>FG11+FG25</f>
        <v>0</v>
      </c>
      <c r="FH48" s="538">
        <f>FH11+FH25</f>
        <v>0</v>
      </c>
      <c r="FI48" s="538">
        <f>FI11+FI25</f>
        <v>0</v>
      </c>
      <c r="FJ48" s="538">
        <f>FJ11+FJ25</f>
        <v>0</v>
      </c>
      <c r="FK48" s="538">
        <f>FK25</f>
        <v>0</v>
      </c>
      <c r="FL48" s="538">
        <f>FL11+FL25</f>
        <v>0</v>
      </c>
      <c r="FM48" s="538">
        <f>FM11+FM25</f>
        <v>0</v>
      </c>
      <c r="FN48" s="538">
        <f>FN11+FN25</f>
        <v>0</v>
      </c>
      <c r="FO48" s="538">
        <f>FO11+FO25</f>
        <v>0</v>
      </c>
      <c r="FP48" s="538">
        <f>FP25</f>
        <v>0</v>
      </c>
      <c r="FQ48" s="349">
        <f>FQ11+FQ25</f>
        <v>9295</v>
      </c>
      <c r="FR48" s="349">
        <f>FR11+FR25</f>
        <v>4945</v>
      </c>
      <c r="FS48" s="349">
        <f>FS11+FS25</f>
        <v>1782</v>
      </c>
      <c r="FT48" s="349">
        <f>FT11+FT25</f>
        <v>2236</v>
      </c>
      <c r="FU48" s="349">
        <f>FU25</f>
        <v>304</v>
      </c>
      <c r="FW48" s="800"/>
    </row>
    <row r="49" spans="2:177">
      <c r="B49" s="497" t="str">
        <f>names!$A789</f>
        <v>*) Dane przekształcone.</v>
      </c>
    </row>
    <row r="50" spans="2:177">
      <c r="B50" s="497"/>
    </row>
    <row r="51" spans="2:177">
      <c r="B51" s="497"/>
    </row>
    <row r="53" spans="2:177">
      <c r="B53" s="577"/>
      <c r="C53" s="1019"/>
      <c r="D53" s="1001"/>
      <c r="E53" s="1001"/>
      <c r="F53" s="1001"/>
      <c r="G53" s="1001"/>
      <c r="H53" s="577"/>
      <c r="I53" s="577"/>
      <c r="J53" s="577"/>
      <c r="K53" s="577"/>
      <c r="L53" s="577"/>
      <c r="M53" s="577"/>
      <c r="N53" s="577"/>
      <c r="O53" s="577"/>
      <c r="P53" s="577"/>
      <c r="Q53" s="577"/>
      <c r="R53" s="577"/>
      <c r="S53" s="577"/>
      <c r="T53" s="577"/>
      <c r="U53" s="577"/>
      <c r="V53" s="577"/>
      <c r="W53" s="577"/>
      <c r="X53" s="577"/>
      <c r="Y53" s="577"/>
      <c r="Z53" s="577"/>
      <c r="AA53" s="577"/>
      <c r="AB53" s="577"/>
      <c r="AC53" s="577"/>
      <c r="AD53" s="577"/>
      <c r="AE53" s="577"/>
      <c r="AF53" s="577"/>
      <c r="AG53" s="577"/>
      <c r="AH53" s="577"/>
      <c r="AI53" s="577"/>
      <c r="AJ53" s="577"/>
      <c r="AK53" s="577"/>
      <c r="AL53" s="577"/>
      <c r="AM53" s="577"/>
      <c r="AN53" s="577"/>
      <c r="AO53" s="577"/>
      <c r="AP53" s="577"/>
      <c r="AQ53" s="577"/>
      <c r="AR53" s="577"/>
      <c r="AS53" s="577"/>
      <c r="AT53" s="577"/>
      <c r="AU53" s="577"/>
      <c r="AV53" s="577"/>
      <c r="AW53" s="577"/>
      <c r="AX53" s="577"/>
      <c r="AY53" s="577"/>
      <c r="AZ53" s="577"/>
      <c r="BA53" s="577"/>
      <c r="BB53" s="577"/>
      <c r="BC53" s="577"/>
      <c r="BD53" s="577"/>
      <c r="BE53" s="577"/>
      <c r="BF53" s="577"/>
      <c r="BG53" s="577"/>
      <c r="BH53" s="577"/>
      <c r="BI53" s="577"/>
      <c r="BJ53" s="577"/>
      <c r="BK53" s="577"/>
      <c r="BL53" s="577"/>
      <c r="BM53" s="577"/>
      <c r="BN53" s="577"/>
      <c r="BO53" s="577"/>
      <c r="BP53" s="577"/>
      <c r="BQ53" s="577"/>
      <c r="BR53" s="577"/>
      <c r="BS53" s="577"/>
      <c r="BT53" s="577"/>
      <c r="BU53" s="577"/>
      <c r="BV53" s="577"/>
      <c r="BW53" s="577"/>
      <c r="BX53" s="577"/>
      <c r="BY53" s="577"/>
      <c r="BZ53" s="577"/>
      <c r="CA53" s="577"/>
      <c r="CB53" s="577"/>
      <c r="CC53" s="577"/>
      <c r="CD53" s="577"/>
      <c r="CE53" s="577"/>
      <c r="CF53" s="577"/>
      <c r="CG53" s="577"/>
      <c r="CH53" s="577"/>
      <c r="CI53" s="577"/>
      <c r="CJ53" s="577"/>
      <c r="CK53" s="577"/>
      <c r="CL53" s="577"/>
      <c r="CM53" s="577"/>
      <c r="CN53" s="577"/>
      <c r="CO53" s="577"/>
      <c r="CP53" s="577"/>
      <c r="CQ53" s="577"/>
      <c r="CR53" s="577"/>
      <c r="CS53" s="577"/>
      <c r="CT53" s="577"/>
      <c r="CU53" s="577"/>
      <c r="CV53" s="577"/>
      <c r="CW53" s="577"/>
      <c r="CX53" s="577"/>
      <c r="CY53" s="577"/>
      <c r="CZ53" s="577"/>
      <c r="DA53" s="577"/>
      <c r="DB53" s="577"/>
      <c r="DC53" s="577"/>
      <c r="DD53" s="577"/>
      <c r="DE53" s="577"/>
      <c r="DF53" s="577"/>
      <c r="DG53" s="577"/>
      <c r="DH53" s="577"/>
      <c r="DI53" s="577"/>
      <c r="DJ53" s="577"/>
      <c r="DK53" s="577"/>
      <c r="DL53" s="577"/>
      <c r="DM53" s="577"/>
      <c r="DN53" s="577"/>
      <c r="DO53" s="577"/>
      <c r="DP53" s="577"/>
      <c r="DQ53" s="577"/>
      <c r="DR53" s="577"/>
      <c r="DS53" s="577"/>
      <c r="DT53" s="577"/>
      <c r="DU53" s="577"/>
      <c r="DV53" s="577"/>
      <c r="DW53" s="577"/>
      <c r="DX53" s="577" t="b">
        <f>DX10=DX48</f>
        <v>1</v>
      </c>
      <c r="DY53" s="577" t="b">
        <f t="shared" ref="DY53:FQ53" si="422">DY10=DY48</f>
        <v>1</v>
      </c>
      <c r="DZ53" s="577" t="b">
        <f t="shared" si="422"/>
        <v>1</v>
      </c>
      <c r="EA53" s="577" t="b">
        <f t="shared" si="422"/>
        <v>1</v>
      </c>
      <c r="EB53" s="577" t="b">
        <f t="shared" si="422"/>
        <v>1</v>
      </c>
      <c r="EC53" s="577" t="b">
        <f t="shared" si="422"/>
        <v>1</v>
      </c>
      <c r="ED53" s="577" t="b">
        <f t="shared" si="422"/>
        <v>1</v>
      </c>
      <c r="EE53" s="577" t="b">
        <f t="shared" si="422"/>
        <v>1</v>
      </c>
      <c r="EF53" s="577" t="b">
        <f t="shared" si="422"/>
        <v>1</v>
      </c>
      <c r="EG53" s="577" t="e">
        <f t="shared" si="422"/>
        <v>#VALUE!</v>
      </c>
      <c r="EH53" s="577" t="b">
        <f t="shared" si="422"/>
        <v>1</v>
      </c>
      <c r="EI53" s="577" t="b">
        <f t="shared" si="422"/>
        <v>1</v>
      </c>
      <c r="EJ53" s="577" t="b">
        <f t="shared" si="422"/>
        <v>1</v>
      </c>
      <c r="EK53" s="577" t="b">
        <f t="shared" si="422"/>
        <v>1</v>
      </c>
      <c r="EL53" s="577" t="e">
        <f t="shared" si="422"/>
        <v>#VALUE!</v>
      </c>
      <c r="EM53" s="577" t="b">
        <f t="shared" si="422"/>
        <v>1</v>
      </c>
      <c r="EN53" s="577" t="b">
        <f t="shared" si="422"/>
        <v>1</v>
      </c>
      <c r="EO53" s="577" t="b">
        <f t="shared" si="422"/>
        <v>1</v>
      </c>
      <c r="EP53" s="577" t="b">
        <f t="shared" si="422"/>
        <v>1</v>
      </c>
      <c r="EQ53" s="577" t="b">
        <f t="shared" si="422"/>
        <v>1</v>
      </c>
      <c r="ER53" s="577" t="b">
        <f>ER10=ER48</f>
        <v>1</v>
      </c>
      <c r="ES53" s="577" t="b">
        <f t="shared" si="422"/>
        <v>1</v>
      </c>
      <c r="ET53" s="577" t="b">
        <f t="shared" si="422"/>
        <v>1</v>
      </c>
      <c r="EU53" s="577" t="b">
        <f t="shared" si="422"/>
        <v>1</v>
      </c>
      <c r="EV53" s="577" t="b">
        <f t="shared" si="422"/>
        <v>1</v>
      </c>
      <c r="EW53" s="577" t="b">
        <f t="shared" si="422"/>
        <v>1</v>
      </c>
      <c r="EX53" s="577" t="b">
        <f t="shared" si="422"/>
        <v>1</v>
      </c>
      <c r="EY53" s="577" t="b">
        <f t="shared" si="422"/>
        <v>1</v>
      </c>
      <c r="EZ53" s="577" t="b">
        <f t="shared" si="422"/>
        <v>1</v>
      </c>
      <c r="FA53" s="577" t="b">
        <f t="shared" si="422"/>
        <v>1</v>
      </c>
      <c r="FB53" s="577" t="b">
        <f t="shared" si="422"/>
        <v>1</v>
      </c>
      <c r="FC53" s="577" t="b">
        <f t="shared" si="422"/>
        <v>1</v>
      </c>
      <c r="FD53" s="577" t="b">
        <f t="shared" si="422"/>
        <v>1</v>
      </c>
      <c r="FE53" s="577" t="b">
        <f t="shared" si="422"/>
        <v>1</v>
      </c>
      <c r="FF53" s="577" t="e">
        <f t="shared" si="422"/>
        <v>#VALUE!</v>
      </c>
      <c r="FG53" s="577" t="b">
        <f t="shared" si="422"/>
        <v>1</v>
      </c>
      <c r="FH53" s="577" t="b">
        <f t="shared" si="422"/>
        <v>1</v>
      </c>
      <c r="FI53" s="577" t="b">
        <f t="shared" si="422"/>
        <v>1</v>
      </c>
      <c r="FJ53" s="577" t="b">
        <f t="shared" si="422"/>
        <v>1</v>
      </c>
      <c r="FK53" s="577" t="e">
        <f t="shared" si="422"/>
        <v>#VALUE!</v>
      </c>
      <c r="FL53" s="577" t="b">
        <f t="shared" si="422"/>
        <v>1</v>
      </c>
      <c r="FM53" s="577" t="b">
        <f t="shared" si="422"/>
        <v>1</v>
      </c>
      <c r="FN53" s="577" t="b">
        <f t="shared" si="422"/>
        <v>1</v>
      </c>
      <c r="FO53" s="577" t="b">
        <f t="shared" si="422"/>
        <v>1</v>
      </c>
      <c r="FP53" s="577" t="e">
        <f t="shared" si="422"/>
        <v>#VALUE!</v>
      </c>
      <c r="FQ53" s="577" t="b">
        <f t="shared" si="422"/>
        <v>1</v>
      </c>
      <c r="FR53" s="577"/>
      <c r="FS53" s="577"/>
      <c r="FT53" s="577"/>
      <c r="FU53" s="577"/>
    </row>
    <row r="55" spans="2:177">
      <c r="EL55" s="722"/>
      <c r="FK55" s="722"/>
    </row>
  </sheetData>
  <mergeCells count="36">
    <mergeCell ref="EW4:FA4"/>
    <mergeCell ref="FB4:FF4"/>
    <mergeCell ref="FG4:FK4"/>
    <mergeCell ref="FL4:FP4"/>
    <mergeCell ref="FQ4:FU4"/>
    <mergeCell ref="EM4:EQ4"/>
    <mergeCell ref="ER4:EV4"/>
    <mergeCell ref="C53:G53"/>
    <mergeCell ref="EH4:EL4"/>
    <mergeCell ref="EC4:EG4"/>
    <mergeCell ref="DX4:EB4"/>
    <mergeCell ref="BA4:BE4"/>
    <mergeCell ref="AQ4:AU4"/>
    <mergeCell ref="AV4:AZ4"/>
    <mergeCell ref="DD4:DH4"/>
    <mergeCell ref="CY4:DC4"/>
    <mergeCell ref="CE4:CI4"/>
    <mergeCell ref="CJ4:CN4"/>
    <mergeCell ref="CO4:CS4"/>
    <mergeCell ref="CT4:CX4"/>
    <mergeCell ref="DS4:DW4"/>
    <mergeCell ref="DN4:DR4"/>
    <mergeCell ref="DI4:DM4"/>
    <mergeCell ref="BZ4:CD4"/>
    <mergeCell ref="C4:G4"/>
    <mergeCell ref="H4:L4"/>
    <mergeCell ref="M4:Q4"/>
    <mergeCell ref="R4:V4"/>
    <mergeCell ref="W4:AA4"/>
    <mergeCell ref="AB4:AF4"/>
    <mergeCell ref="AL4:AP4"/>
    <mergeCell ref="AG4:AK4"/>
    <mergeCell ref="BP4:BT4"/>
    <mergeCell ref="BU4:BY4"/>
    <mergeCell ref="BK4:BO4"/>
    <mergeCell ref="BF4:BJ4"/>
  </mergeCells>
  <conditionalFormatting sqref="B53:C53">
    <cfRule type="cellIs" dxfId="9" priority="4" operator="equal">
      <formula>FALSE</formula>
    </cfRule>
  </conditionalFormatting>
  <conditionalFormatting sqref="H53:FU53">
    <cfRule type="cellIs" dxfId="8"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71" orientation="landscape" r:id="rId1"/>
  <ignoredErrors>
    <ignoredError sqref="W15 AV15 CT15:CW15 CT19:CX19 CT29:CX29 CT32:CX32 CT37:CX37 CT42:CX42 CS48 BU37:BZ37 BU32 BU29 CI48 DR48 DS29 DS32 DU32 DU29 DS19:DV19 DS15:DV15" formula="1"/>
    <ignoredError sqref="C19:BY19 C42:BT42 CJ42 CJ19:CL19 CO19 CP19:CQ19 BZ19:CC19 CE19 CF19:CH19 CE42 CO42 CY42 CY19:DA19 DD19" formulaRange="1"/>
    <ignoredError sqref="BU42:BZ42" formula="1" formulaRange="1"/>
  </ignoredErrors>
  <legacy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13">
    <tabColor theme="0" tint="-0.34998626667073579"/>
    <pageSetUpPr fitToPage="1"/>
  </sheetPr>
  <dimension ref="B2:AM34"/>
  <sheetViews>
    <sheetView view="pageBreakPreview" zoomScaleNormal="100" zoomScaleSheetLayoutView="100" workbookViewId="0">
      <pane xSplit="2" ySplit="4" topLeftCell="G5" activePane="bottomRight" state="frozen"/>
      <selection activeCell="B7" sqref="B7"/>
      <selection pane="topRight" activeCell="B7" sqref="B7"/>
      <selection pane="bottomLeft" activeCell="B7" sqref="B7"/>
      <selection pane="bottomRight"/>
    </sheetView>
  </sheetViews>
  <sheetFormatPr defaultRowHeight="12.75" outlineLevelCol="1"/>
  <cols>
    <col min="1" max="1" width="1.28515625" customWidth="1"/>
    <col min="2" max="2" width="47.28515625" style="1" customWidth="1"/>
    <col min="3" max="6" width="7.5703125" style="1" hidden="1" customWidth="1" outlineLevel="1"/>
    <col min="7" max="7" width="7.5703125" style="1" customWidth="1" collapsed="1"/>
    <col min="8" max="11" width="7.5703125" style="1" hidden="1" customWidth="1" outlineLevel="1"/>
    <col min="12" max="12" width="7.5703125" style="1" customWidth="1" collapsed="1"/>
    <col min="13" max="14" width="7.5703125" style="1" hidden="1" customWidth="1" outlineLevel="1"/>
    <col min="15" max="16" width="7.28515625" style="1" hidden="1" customWidth="1" outlineLevel="1"/>
    <col min="17" max="17" width="7.28515625" style="1" customWidth="1" collapsed="1"/>
    <col min="18" max="20" width="7.5703125" style="1" hidden="1" customWidth="1" outlineLevel="1"/>
    <col min="21" max="21" width="7.28515625" style="1" hidden="1" customWidth="1" outlineLevel="1"/>
    <col min="22" max="22" width="7.28515625" style="1" customWidth="1" collapsed="1"/>
    <col min="23" max="25" width="7.5703125" style="1" hidden="1" customWidth="1" outlineLevel="1"/>
    <col min="26" max="26" width="7.28515625" style="1" hidden="1" customWidth="1" outlineLevel="1"/>
    <col min="27" max="27" width="7.28515625" style="1" customWidth="1" collapsed="1"/>
    <col min="28" max="30" width="7.5703125" style="1" hidden="1" customWidth="1" outlineLevel="1"/>
    <col min="31" max="31" width="7.28515625" style="1" hidden="1" customWidth="1" outlineLevel="1"/>
    <col min="32" max="32" width="7.28515625" style="1" customWidth="1" collapsed="1"/>
    <col min="33" max="35" width="7.5703125" style="1" hidden="1" customWidth="1" outlineLevel="1"/>
    <col min="36" max="36" width="7.28515625" style="1" hidden="1" customWidth="1" outlineLevel="1"/>
    <col min="37" max="37" width="7.28515625" style="1" customWidth="1" collapsed="1"/>
    <col min="38" max="38" width="7.5703125" style="1" hidden="1" customWidth="1"/>
    <col min="39" max="39" width="8.7109375" customWidth="1"/>
  </cols>
  <sheetData>
    <row r="2" spans="2:39" ht="15.75">
      <c r="B2" s="745" t="str">
        <f>names!A1938</f>
        <v>Sprzedaż wolumenowa</v>
      </c>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577"/>
    </row>
    <row r="3" spans="2:39" ht="10.15" customHeight="1">
      <c r="B3" s="744"/>
      <c r="C3" s="744"/>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c r="AG3" s="744"/>
      <c r="AH3" s="744"/>
      <c r="AI3" s="744"/>
      <c r="AJ3" s="744"/>
      <c r="AK3" s="744"/>
      <c r="AL3" s="744"/>
      <c r="AM3" s="577"/>
    </row>
    <row r="4" spans="2:39" ht="43.5" customHeight="1">
      <c r="B4" s="15" t="str">
        <f>names!A1940</f>
        <v>Sprzedaż
tys. ton</v>
      </c>
      <c r="C4" s="15" t="str">
        <f>names!$A499</f>
        <v>I kw.
2013 *</v>
      </c>
      <c r="D4" s="15" t="str">
        <f>names!$A500</f>
        <v>II kw.
2013 *</v>
      </c>
      <c r="E4" s="15" t="str">
        <f>names!$A501</f>
        <v>III kw.
2013 *</v>
      </c>
      <c r="F4" s="15" t="str">
        <f>names!$A502</f>
        <v>IV kw.
2013 *</v>
      </c>
      <c r="G4" s="15" t="str">
        <f>names!$A503</f>
        <v>12 m-cy
2013 *</v>
      </c>
      <c r="H4" s="15" t="str">
        <f>names!$A504</f>
        <v>I kw.
2014</v>
      </c>
      <c r="I4" s="15" t="str">
        <f>names!$A505</f>
        <v>II kw.
2014</v>
      </c>
      <c r="J4" s="15" t="str">
        <f>names!$A506</f>
        <v>III kw.
2014</v>
      </c>
      <c r="K4" s="15" t="str">
        <f>names!$A507</f>
        <v>IV kw.
2014</v>
      </c>
      <c r="L4" s="15" t="str">
        <f>names!$A508</f>
        <v>12 m-cy
2014</v>
      </c>
      <c r="M4" s="15" t="str">
        <f>names!$A509</f>
        <v>I kw.
2015</v>
      </c>
      <c r="N4" s="15" t="str">
        <f>names!$A510</f>
        <v>II kw.
2015</v>
      </c>
      <c r="O4" s="15" t="str">
        <f>names!$A511</f>
        <v>III kw.
2015</v>
      </c>
      <c r="P4" s="15" t="str">
        <f>names!$A512</f>
        <v>IV kw.
2015</v>
      </c>
      <c r="Q4" s="15" t="str">
        <f>names!$A513</f>
        <v>12 m-cy
2015</v>
      </c>
      <c r="R4" s="15" t="str">
        <f>names!$A514</f>
        <v>I kw.
2016</v>
      </c>
      <c r="S4" s="15" t="str">
        <f>names!$A515</f>
        <v>II kw.
2016</v>
      </c>
      <c r="T4" s="15" t="str">
        <f>names!$A516</f>
        <v>III kw.
2016</v>
      </c>
      <c r="U4" s="15" t="str">
        <f>names!$A517</f>
        <v>IV kw.
2016</v>
      </c>
      <c r="V4" s="15" t="str">
        <f>names!$A518</f>
        <v>12 m-cy
2016</v>
      </c>
      <c r="W4" s="15" t="str">
        <f>names!$A519</f>
        <v>I kw.
2017</v>
      </c>
      <c r="X4" s="15" t="str">
        <f>names!$A520</f>
        <v>II kw.
2017</v>
      </c>
      <c r="Y4" s="15" t="str">
        <f>names!$A521</f>
        <v>III kw.
2017</v>
      </c>
      <c r="Z4" s="15" t="str">
        <f>names!$A522</f>
        <v>IV kw.
2017</v>
      </c>
      <c r="AA4" s="15" t="str">
        <f>names!$A523</f>
        <v>12 m-cy
2017</v>
      </c>
      <c r="AB4" s="15" t="str">
        <f>names!$A524</f>
        <v>I kw.
2018</v>
      </c>
      <c r="AC4" s="15" t="str">
        <f>names!$A525</f>
        <v>II kw.
2018</v>
      </c>
      <c r="AD4" s="15" t="str">
        <f>names!$A526</f>
        <v>III kw.
2018</v>
      </c>
      <c r="AE4" s="15" t="str">
        <f>names!$A529</f>
        <v>IV kw.
2018</v>
      </c>
      <c r="AF4" s="15" t="str">
        <f>names!$A530</f>
        <v>12 m-cy
2018</v>
      </c>
      <c r="AG4" s="15" t="str">
        <f>names!$A531</f>
        <v>I kw.
2019</v>
      </c>
      <c r="AH4" s="15" t="str">
        <f>names!$A532</f>
        <v>II kw.
2019</v>
      </c>
      <c r="AI4" s="15" t="str">
        <f>names!$A533</f>
        <v>III kw.
2019</v>
      </c>
      <c r="AJ4" s="15" t="str">
        <f>names!$A534</f>
        <v>IV kw.
2019</v>
      </c>
      <c r="AK4" s="15" t="str">
        <f>names!$A535</f>
        <v>12 m-cy
2019</v>
      </c>
      <c r="AL4" s="15" t="str">
        <f>names!$A536</f>
        <v>I kw.
2020</v>
      </c>
      <c r="AM4" s="577"/>
    </row>
    <row r="5" spans="2:39" ht="6.75" customHeight="1">
      <c r="B5" s="746"/>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746"/>
      <c r="AJ5" s="746"/>
      <c r="AK5" s="746"/>
      <c r="AL5" s="746"/>
      <c r="AM5" s="577"/>
    </row>
    <row r="6" spans="2:39" ht="6.75" customHeight="1" thickBot="1">
      <c r="B6" s="747"/>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7"/>
      <c r="AG6" s="747"/>
      <c r="AH6" s="747"/>
      <c r="AI6" s="747"/>
      <c r="AJ6" s="747"/>
      <c r="AK6" s="747"/>
      <c r="AL6" s="747"/>
      <c r="AM6" s="577"/>
    </row>
    <row r="7" spans="2:39" ht="13.5" thickBot="1">
      <c r="B7" s="97" t="str">
        <f>names!A1943</f>
        <v>Segment Downstream</v>
      </c>
      <c r="C7" s="134">
        <f t="shared" ref="C7:J7" si="0">C8+C9+C10+C11+C12+C13+C14+C15+C16+C17</f>
        <v>6937</v>
      </c>
      <c r="D7" s="134">
        <f t="shared" si="0"/>
        <v>6766</v>
      </c>
      <c r="E7" s="134">
        <f t="shared" si="0"/>
        <v>7472</v>
      </c>
      <c r="F7" s="134">
        <f t="shared" si="0"/>
        <v>7201</v>
      </c>
      <c r="G7" s="185">
        <f t="shared" si="0"/>
        <v>28376</v>
      </c>
      <c r="H7" s="134">
        <f t="shared" si="0"/>
        <v>6152</v>
      </c>
      <c r="I7" s="134">
        <f t="shared" si="0"/>
        <v>6642</v>
      </c>
      <c r="J7" s="134">
        <f t="shared" si="0"/>
        <v>7616</v>
      </c>
      <c r="K7" s="134">
        <v>7296</v>
      </c>
      <c r="L7" s="185">
        <f t="shared" ref="L7:Q7" si="1">L8+L9+L10+L11+L12+L13+L14+L15+L16+L17</f>
        <v>27706</v>
      </c>
      <c r="M7" s="134">
        <f t="shared" si="1"/>
        <v>6756</v>
      </c>
      <c r="N7" s="134">
        <f t="shared" si="1"/>
        <v>7855</v>
      </c>
      <c r="O7" s="134">
        <f t="shared" si="1"/>
        <v>8090</v>
      </c>
      <c r="P7" s="134">
        <f t="shared" si="1"/>
        <v>7679</v>
      </c>
      <c r="Q7" s="185">
        <f t="shared" si="1"/>
        <v>30380</v>
      </c>
      <c r="R7" s="134">
        <f t="shared" ref="R7:AA7" si="2">R8+R9+R10+R11+R12+R13+R14+R15+R16+R17</f>
        <v>7263</v>
      </c>
      <c r="S7" s="134">
        <f t="shared" si="2"/>
        <v>7203</v>
      </c>
      <c r="T7" s="134">
        <f t="shared" si="2"/>
        <v>8063</v>
      </c>
      <c r="U7" s="134">
        <f t="shared" si="2"/>
        <v>8179</v>
      </c>
      <c r="V7" s="185">
        <f t="shared" si="2"/>
        <v>30708</v>
      </c>
      <c r="W7" s="134">
        <f t="shared" si="2"/>
        <v>7583</v>
      </c>
      <c r="X7" s="134">
        <f t="shared" si="2"/>
        <v>7906</v>
      </c>
      <c r="Y7" s="134">
        <f t="shared" si="2"/>
        <v>8946</v>
      </c>
      <c r="Z7" s="134">
        <f t="shared" si="2"/>
        <v>8490</v>
      </c>
      <c r="AA7" s="185">
        <f t="shared" si="2"/>
        <v>32925</v>
      </c>
      <c r="AB7" s="134">
        <f t="shared" ref="AB7:AK7" si="3">AB8+AB9+AB10+AB11+AB12+AB13+AB14+AB15+AB16+AB17</f>
        <v>7729</v>
      </c>
      <c r="AC7" s="134">
        <f t="shared" si="3"/>
        <v>7955</v>
      </c>
      <c r="AD7" s="134">
        <f t="shared" si="3"/>
        <v>8479</v>
      </c>
      <c r="AE7" s="134">
        <f t="shared" si="3"/>
        <v>8553</v>
      </c>
      <c r="AF7" s="185">
        <f t="shared" si="3"/>
        <v>32716</v>
      </c>
      <c r="AG7" s="134">
        <f t="shared" si="3"/>
        <v>7801</v>
      </c>
      <c r="AH7" s="134">
        <f t="shared" si="3"/>
        <v>8109</v>
      </c>
      <c r="AI7" s="134">
        <f t="shared" si="3"/>
        <v>8631</v>
      </c>
      <c r="AJ7" s="134">
        <f t="shared" si="3"/>
        <v>8199</v>
      </c>
      <c r="AK7" s="185">
        <f t="shared" si="3"/>
        <v>32740</v>
      </c>
      <c r="AL7" s="134">
        <f>SUM(AL8:AL17)</f>
        <v>6999</v>
      </c>
      <c r="AM7" s="577"/>
    </row>
    <row r="8" spans="2:39" ht="22.5">
      <c r="B8" s="99" t="str">
        <f>names!A1944</f>
        <v>Lekkie destylaty
[benzyna, LPG]</v>
      </c>
      <c r="C8" s="138">
        <v>1335</v>
      </c>
      <c r="D8" s="138">
        <v>1245</v>
      </c>
      <c r="E8" s="138">
        <v>1333</v>
      </c>
      <c r="F8" s="138">
        <v>1317</v>
      </c>
      <c r="G8" s="186">
        <v>5230</v>
      </c>
      <c r="H8" s="138">
        <v>928</v>
      </c>
      <c r="I8" s="138">
        <v>1128</v>
      </c>
      <c r="J8" s="138">
        <v>1316</v>
      </c>
      <c r="K8" s="138">
        <v>1251</v>
      </c>
      <c r="L8" s="186">
        <v>4623</v>
      </c>
      <c r="M8" s="138">
        <v>1042</v>
      </c>
      <c r="N8" s="138">
        <v>1348</v>
      </c>
      <c r="O8" s="138">
        <f>1510+1</f>
        <v>1511</v>
      </c>
      <c r="P8" s="138">
        <v>1536</v>
      </c>
      <c r="Q8" s="186">
        <v>5437</v>
      </c>
      <c r="R8" s="138">
        <v>1427</v>
      </c>
      <c r="S8" s="138">
        <v>1363</v>
      </c>
      <c r="T8" s="138">
        <v>1463</v>
      </c>
      <c r="U8" s="138">
        <f>1512</f>
        <v>1512</v>
      </c>
      <c r="V8" s="186">
        <f>5765</f>
        <v>5765</v>
      </c>
      <c r="W8" s="138">
        <v>1344</v>
      </c>
      <c r="X8" s="138">
        <v>1423</v>
      </c>
      <c r="Y8" s="138">
        <v>1495</v>
      </c>
      <c r="Z8" s="138">
        <v>1556</v>
      </c>
      <c r="AA8" s="186">
        <v>5818</v>
      </c>
      <c r="AB8" s="138">
        <v>1251</v>
      </c>
      <c r="AC8" s="138">
        <v>1249</v>
      </c>
      <c r="AD8" s="459">
        <v>1442</v>
      </c>
      <c r="AE8" s="459">
        <v>1508</v>
      </c>
      <c r="AF8" s="463">
        <v>5450</v>
      </c>
      <c r="AG8" s="138">
        <v>1206</v>
      </c>
      <c r="AH8" s="138">
        <v>1349</v>
      </c>
      <c r="AI8" s="138">
        <v>1339</v>
      </c>
      <c r="AJ8" s="459">
        <v>1337</v>
      </c>
      <c r="AK8" s="463">
        <v>5231</v>
      </c>
      <c r="AL8" s="459">
        <v>1066</v>
      </c>
      <c r="AM8" s="577"/>
    </row>
    <row r="9" spans="2:39" ht="22.5">
      <c r="B9" s="100" t="str">
        <f>names!A1945</f>
        <v>Średnie destylaty
[olej napędowy, lekki olej opałowy, paliwo lotnicze]</v>
      </c>
      <c r="C9" s="139">
        <v>2475</v>
      </c>
      <c r="D9" s="139">
        <v>2410</v>
      </c>
      <c r="E9" s="139">
        <v>2746</v>
      </c>
      <c r="F9" s="139">
        <v>2609</v>
      </c>
      <c r="G9" s="187">
        <v>10240</v>
      </c>
      <c r="H9" s="139">
        <v>2175</v>
      </c>
      <c r="I9" s="139">
        <v>2490</v>
      </c>
      <c r="J9" s="139">
        <v>2742</v>
      </c>
      <c r="K9" s="139">
        <v>2685</v>
      </c>
      <c r="L9" s="187">
        <v>10092</v>
      </c>
      <c r="M9" s="139">
        <v>2564</v>
      </c>
      <c r="N9" s="139">
        <v>3146</v>
      </c>
      <c r="O9" s="139">
        <v>3236</v>
      </c>
      <c r="P9" s="139">
        <v>3049</v>
      </c>
      <c r="Q9" s="187">
        <v>11995</v>
      </c>
      <c r="R9" s="139">
        <v>2810</v>
      </c>
      <c r="S9" s="139">
        <v>2877</v>
      </c>
      <c r="T9" s="139">
        <v>3331</v>
      </c>
      <c r="U9" s="139">
        <v>3442</v>
      </c>
      <c r="V9" s="187">
        <v>12460</v>
      </c>
      <c r="W9" s="139">
        <v>2996</v>
      </c>
      <c r="X9" s="139">
        <f>3197-1</f>
        <v>3196</v>
      </c>
      <c r="Y9" s="139">
        <v>3663</v>
      </c>
      <c r="Z9" s="139">
        <v>3488</v>
      </c>
      <c r="AA9" s="187">
        <v>13343</v>
      </c>
      <c r="AB9" s="139">
        <v>3134</v>
      </c>
      <c r="AC9" s="139">
        <v>3299</v>
      </c>
      <c r="AD9" s="460">
        <f>3597+1</f>
        <v>3598</v>
      </c>
      <c r="AE9" s="460">
        <v>3622</v>
      </c>
      <c r="AF9" s="464">
        <v>13653</v>
      </c>
      <c r="AG9" s="139">
        <v>3279</v>
      </c>
      <c r="AH9" s="139">
        <v>3442</v>
      </c>
      <c r="AI9" s="139">
        <v>3703</v>
      </c>
      <c r="AJ9" s="460">
        <v>3550</v>
      </c>
      <c r="AK9" s="464">
        <v>13974</v>
      </c>
      <c r="AL9" s="460">
        <v>2873</v>
      </c>
      <c r="AM9" s="577"/>
    </row>
    <row r="10" spans="2:39" ht="22.5">
      <c r="B10" s="100" t="str">
        <f>names!A1946</f>
        <v>Frakcje ciężkie 
[ciężki olej opałowy, asfalt, oleje]</v>
      </c>
      <c r="C10" s="139">
        <v>1061</v>
      </c>
      <c r="D10" s="139">
        <v>1212</v>
      </c>
      <c r="E10" s="139">
        <v>1351</v>
      </c>
      <c r="F10" s="139">
        <v>1189</v>
      </c>
      <c r="G10" s="187">
        <v>4813</v>
      </c>
      <c r="H10" s="139">
        <v>884</v>
      </c>
      <c r="I10" s="139">
        <v>1081</v>
      </c>
      <c r="J10" s="139">
        <v>1345</v>
      </c>
      <c r="K10" s="139">
        <v>1217</v>
      </c>
      <c r="L10" s="187">
        <v>4527</v>
      </c>
      <c r="M10" s="139">
        <v>931</v>
      </c>
      <c r="N10" s="139">
        <v>1236</v>
      </c>
      <c r="O10" s="139">
        <v>1227</v>
      </c>
      <c r="P10" s="139">
        <v>1150</v>
      </c>
      <c r="Q10" s="187">
        <v>4544</v>
      </c>
      <c r="R10" s="139">
        <v>954</v>
      </c>
      <c r="S10" s="139">
        <v>1019</v>
      </c>
      <c r="T10" s="139">
        <v>1280</v>
      </c>
      <c r="U10" s="139">
        <f>1082-1</f>
        <v>1081</v>
      </c>
      <c r="V10" s="187">
        <v>4334</v>
      </c>
      <c r="W10" s="139">
        <f>1100+1</f>
        <v>1101</v>
      </c>
      <c r="X10" s="139">
        <f>1057+1</f>
        <v>1058</v>
      </c>
      <c r="Y10" s="139">
        <v>1396</v>
      </c>
      <c r="Z10" s="139">
        <v>1324</v>
      </c>
      <c r="AA10" s="187">
        <v>4879</v>
      </c>
      <c r="AB10" s="139">
        <v>1113</v>
      </c>
      <c r="AC10" s="139">
        <v>1221</v>
      </c>
      <c r="AD10" s="460">
        <v>1292</v>
      </c>
      <c r="AE10" s="460">
        <v>1406</v>
      </c>
      <c r="AF10" s="464">
        <v>5032</v>
      </c>
      <c r="AG10" s="139">
        <v>1079</v>
      </c>
      <c r="AH10" s="139">
        <f>1104+47</f>
        <v>1151</v>
      </c>
      <c r="AI10" s="139">
        <v>1291</v>
      </c>
      <c r="AJ10" s="460">
        <v>1263</v>
      </c>
      <c r="AK10" s="464">
        <v>4784</v>
      </c>
      <c r="AL10" s="460">
        <v>875</v>
      </c>
      <c r="AM10" s="577"/>
    </row>
    <row r="11" spans="2:39" ht="22.5">
      <c r="B11" s="99" t="str">
        <f>names!A1947</f>
        <v>Monomery
[etylen, propylen]</v>
      </c>
      <c r="C11" s="138">
        <f>222+1</f>
        <v>223</v>
      </c>
      <c r="D11" s="138">
        <v>202</v>
      </c>
      <c r="E11" s="138">
        <v>212</v>
      </c>
      <c r="F11" s="138">
        <v>195</v>
      </c>
      <c r="G11" s="186">
        <v>832</v>
      </c>
      <c r="H11" s="138">
        <v>218</v>
      </c>
      <c r="I11" s="138">
        <v>205</v>
      </c>
      <c r="J11" s="138">
        <v>190</v>
      </c>
      <c r="K11" s="138">
        <v>224</v>
      </c>
      <c r="L11" s="186">
        <v>837</v>
      </c>
      <c r="M11" s="138">
        <v>232</v>
      </c>
      <c r="N11" s="138">
        <v>240</v>
      </c>
      <c r="O11" s="138">
        <v>203</v>
      </c>
      <c r="P11" s="138">
        <v>203</v>
      </c>
      <c r="Q11" s="186">
        <v>878</v>
      </c>
      <c r="R11" s="138">
        <v>203</v>
      </c>
      <c r="S11" s="138">
        <v>197</v>
      </c>
      <c r="T11" s="138">
        <v>155</v>
      </c>
      <c r="U11" s="138">
        <v>126</v>
      </c>
      <c r="V11" s="186">
        <v>681</v>
      </c>
      <c r="W11" s="138">
        <f>207+1</f>
        <v>208</v>
      </c>
      <c r="X11" s="138">
        <v>213</v>
      </c>
      <c r="Y11" s="138">
        <v>239</v>
      </c>
      <c r="Z11" s="138">
        <v>208</v>
      </c>
      <c r="AA11" s="186">
        <v>868</v>
      </c>
      <c r="AB11" s="138">
        <v>252</v>
      </c>
      <c r="AC11" s="138">
        <v>207</v>
      </c>
      <c r="AD11" s="459">
        <v>229</v>
      </c>
      <c r="AE11" s="459">
        <v>161</v>
      </c>
      <c r="AF11" s="463">
        <v>849</v>
      </c>
      <c r="AG11" s="138">
        <v>259</v>
      </c>
      <c r="AH11" s="138">
        <v>270</v>
      </c>
      <c r="AI11" s="138">
        <v>258</v>
      </c>
      <c r="AJ11" s="459">
        <v>235</v>
      </c>
      <c r="AK11" s="463">
        <v>1022</v>
      </c>
      <c r="AL11" s="459">
        <v>244</v>
      </c>
      <c r="AM11" s="577"/>
    </row>
    <row r="12" spans="2:39" ht="22.5">
      <c r="B12" s="100" t="str">
        <f>names!A1948</f>
        <v>Polimery
[polietylen, polipropylen]</v>
      </c>
      <c r="C12" s="139">
        <f>120+1</f>
        <v>121</v>
      </c>
      <c r="D12" s="139">
        <v>135</v>
      </c>
      <c r="E12" s="139">
        <v>118</v>
      </c>
      <c r="F12" s="139">
        <v>136</v>
      </c>
      <c r="G12" s="187">
        <v>510</v>
      </c>
      <c r="H12" s="139">
        <v>141</v>
      </c>
      <c r="I12" s="139">
        <v>146</v>
      </c>
      <c r="J12" s="139">
        <v>151</v>
      </c>
      <c r="K12" s="139">
        <v>154</v>
      </c>
      <c r="L12" s="187">
        <v>592</v>
      </c>
      <c r="M12" s="139">
        <v>160</v>
      </c>
      <c r="N12" s="139">
        <v>152</v>
      </c>
      <c r="O12" s="139">
        <v>108</v>
      </c>
      <c r="P12" s="139">
        <v>62</v>
      </c>
      <c r="Q12" s="187">
        <v>482</v>
      </c>
      <c r="R12" s="139">
        <v>59</v>
      </c>
      <c r="S12" s="139">
        <v>58</v>
      </c>
      <c r="T12" s="139">
        <v>46</v>
      </c>
      <c r="U12" s="139">
        <v>82</v>
      </c>
      <c r="V12" s="187">
        <v>245</v>
      </c>
      <c r="W12" s="139">
        <v>135</v>
      </c>
      <c r="X12" s="139">
        <v>129</v>
      </c>
      <c r="Y12" s="139">
        <v>146</v>
      </c>
      <c r="Z12" s="139">
        <v>140</v>
      </c>
      <c r="AA12" s="187">
        <v>550</v>
      </c>
      <c r="AB12" s="139">
        <v>149</v>
      </c>
      <c r="AC12" s="139">
        <v>140</v>
      </c>
      <c r="AD12" s="460">
        <v>131</v>
      </c>
      <c r="AE12" s="460">
        <v>120</v>
      </c>
      <c r="AF12" s="464">
        <v>540</v>
      </c>
      <c r="AG12" s="139">
        <v>139</v>
      </c>
      <c r="AH12" s="139">
        <v>136</v>
      </c>
      <c r="AI12" s="139">
        <v>133</v>
      </c>
      <c r="AJ12" s="460">
        <v>111</v>
      </c>
      <c r="AK12" s="464">
        <v>519</v>
      </c>
      <c r="AL12" s="460">
        <v>100</v>
      </c>
      <c r="AM12" s="577"/>
    </row>
    <row r="13" spans="2:39" ht="22.5">
      <c r="B13" s="100" t="str">
        <f>names!A1949</f>
        <v>Aromaty
[benzen, toluen, paraksylen, ortoksylen]</v>
      </c>
      <c r="C13" s="139">
        <v>101</v>
      </c>
      <c r="D13" s="139">
        <v>88</v>
      </c>
      <c r="E13" s="139">
        <v>87</v>
      </c>
      <c r="F13" s="139">
        <v>105</v>
      </c>
      <c r="G13" s="187">
        <v>381</v>
      </c>
      <c r="H13" s="139">
        <v>107</v>
      </c>
      <c r="I13" s="139">
        <v>94</v>
      </c>
      <c r="J13" s="139">
        <v>107</v>
      </c>
      <c r="K13" s="139">
        <v>105</v>
      </c>
      <c r="L13" s="187">
        <v>413</v>
      </c>
      <c r="M13" s="139">
        <v>120</v>
      </c>
      <c r="N13" s="139">
        <v>114</v>
      </c>
      <c r="O13" s="139">
        <f>79-1</f>
        <v>78</v>
      </c>
      <c r="P13" s="139">
        <v>46</v>
      </c>
      <c r="Q13" s="187">
        <v>358</v>
      </c>
      <c r="R13" s="139">
        <v>55</v>
      </c>
      <c r="S13" s="139">
        <v>61</v>
      </c>
      <c r="T13" s="139">
        <v>52</v>
      </c>
      <c r="U13" s="139">
        <v>80</v>
      </c>
      <c r="V13" s="187">
        <v>248</v>
      </c>
      <c r="W13" s="139">
        <v>73</v>
      </c>
      <c r="X13" s="139">
        <v>71</v>
      </c>
      <c r="Y13" s="139">
        <v>110</v>
      </c>
      <c r="Z13" s="139">
        <v>106</v>
      </c>
      <c r="AA13" s="187">
        <v>360</v>
      </c>
      <c r="AB13" s="139">
        <v>106</v>
      </c>
      <c r="AC13" s="139">
        <f>98-1</f>
        <v>97</v>
      </c>
      <c r="AD13" s="460">
        <v>90</v>
      </c>
      <c r="AE13" s="460">
        <v>75</v>
      </c>
      <c r="AF13" s="464">
        <v>368</v>
      </c>
      <c r="AG13" s="139">
        <v>115</v>
      </c>
      <c r="AH13" s="139">
        <v>116</v>
      </c>
      <c r="AI13" s="139">
        <v>104</v>
      </c>
      <c r="AJ13" s="460">
        <v>89</v>
      </c>
      <c r="AK13" s="464">
        <v>424</v>
      </c>
      <c r="AL13" s="460">
        <v>105</v>
      </c>
      <c r="AM13" s="577"/>
    </row>
    <row r="14" spans="2:39" ht="22.5">
      <c r="B14" s="100" t="str">
        <f>names!A1950</f>
        <v>Nawozy sztuczne
[CANWIL, siarczan amonu, saletra amonowa, pozostałe nawozy]</v>
      </c>
      <c r="C14" s="139">
        <v>291</v>
      </c>
      <c r="D14" s="139">
        <v>197</v>
      </c>
      <c r="E14" s="139">
        <v>244</v>
      </c>
      <c r="F14" s="139">
        <v>302</v>
      </c>
      <c r="G14" s="187">
        <v>1034</v>
      </c>
      <c r="H14" s="139">
        <v>313</v>
      </c>
      <c r="I14" s="139">
        <v>174</v>
      </c>
      <c r="J14" s="139">
        <v>366</v>
      </c>
      <c r="K14" s="139">
        <v>290</v>
      </c>
      <c r="L14" s="187">
        <v>1143</v>
      </c>
      <c r="M14" s="139">
        <v>304</v>
      </c>
      <c r="N14" s="139">
        <v>205</v>
      </c>
      <c r="O14" s="139">
        <v>354</v>
      </c>
      <c r="P14" s="139">
        <v>283</v>
      </c>
      <c r="Q14" s="187">
        <v>1146</v>
      </c>
      <c r="R14" s="139">
        <v>287</v>
      </c>
      <c r="S14" s="139">
        <v>180</v>
      </c>
      <c r="T14" s="139">
        <v>305</v>
      </c>
      <c r="U14" s="139">
        <v>317</v>
      </c>
      <c r="V14" s="187">
        <v>1089</v>
      </c>
      <c r="W14" s="139">
        <v>262</v>
      </c>
      <c r="X14" s="139">
        <v>202</v>
      </c>
      <c r="Y14" s="139">
        <v>367</v>
      </c>
      <c r="Z14" s="139">
        <v>250</v>
      </c>
      <c r="AA14" s="187">
        <v>1081</v>
      </c>
      <c r="AB14" s="139">
        <v>251</v>
      </c>
      <c r="AC14" s="139">
        <v>264</v>
      </c>
      <c r="AD14" s="460">
        <v>308</v>
      </c>
      <c r="AE14" s="460">
        <v>244</v>
      </c>
      <c r="AF14" s="464">
        <v>1067</v>
      </c>
      <c r="AG14" s="139">
        <v>280</v>
      </c>
      <c r="AH14" s="139">
        <v>223</v>
      </c>
      <c r="AI14" s="139">
        <v>268</v>
      </c>
      <c r="AJ14" s="460">
        <v>259</v>
      </c>
      <c r="AK14" s="464">
        <v>1030</v>
      </c>
      <c r="AL14" s="460">
        <v>283</v>
      </c>
      <c r="AM14" s="577"/>
    </row>
    <row r="15" spans="2:39" ht="22.5">
      <c r="B15" s="100" t="str">
        <f>names!A1951</f>
        <v>Tworzywa sztuczne
[PCW, granulat PCW]</v>
      </c>
      <c r="C15" s="139">
        <f>114+1</f>
        <v>115</v>
      </c>
      <c r="D15" s="139">
        <v>108</v>
      </c>
      <c r="E15" s="139">
        <v>99</v>
      </c>
      <c r="F15" s="139">
        <v>101</v>
      </c>
      <c r="G15" s="187">
        <v>423</v>
      </c>
      <c r="H15" s="139">
        <v>116</v>
      </c>
      <c r="I15" s="139">
        <v>114</v>
      </c>
      <c r="J15" s="139">
        <v>103</v>
      </c>
      <c r="K15" s="139">
        <v>85</v>
      </c>
      <c r="L15" s="187">
        <v>418</v>
      </c>
      <c r="M15" s="139">
        <v>134</v>
      </c>
      <c r="N15" s="139">
        <v>119</v>
      </c>
      <c r="O15" s="139">
        <v>106</v>
      </c>
      <c r="P15" s="139">
        <v>86</v>
      </c>
      <c r="Q15" s="187">
        <v>445</v>
      </c>
      <c r="R15" s="139">
        <v>92</v>
      </c>
      <c r="S15" s="139">
        <v>105</v>
      </c>
      <c r="T15" s="139">
        <v>64</v>
      </c>
      <c r="U15" s="139">
        <f>89+1</f>
        <v>90</v>
      </c>
      <c r="V15" s="187">
        <v>351</v>
      </c>
      <c r="W15" s="139">
        <v>113</v>
      </c>
      <c r="X15" s="139">
        <v>92</v>
      </c>
      <c r="Y15" s="139">
        <v>100</v>
      </c>
      <c r="Z15" s="139">
        <v>86</v>
      </c>
      <c r="AA15" s="187">
        <v>391</v>
      </c>
      <c r="AB15" s="139">
        <v>103</v>
      </c>
      <c r="AC15" s="139">
        <v>105</v>
      </c>
      <c r="AD15" s="460">
        <v>94</v>
      </c>
      <c r="AE15" s="460">
        <v>69</v>
      </c>
      <c r="AF15" s="464">
        <v>371</v>
      </c>
      <c r="AG15" s="139">
        <v>106</v>
      </c>
      <c r="AH15" s="139">
        <v>99</v>
      </c>
      <c r="AI15" s="139">
        <v>90</v>
      </c>
      <c r="AJ15" s="460">
        <v>48</v>
      </c>
      <c r="AK15" s="464">
        <v>343</v>
      </c>
      <c r="AL15" s="460">
        <v>109</v>
      </c>
      <c r="AM15" s="577"/>
    </row>
    <row r="16" spans="2:39">
      <c r="B16" s="100" t="str">
        <f>names!A1952</f>
        <v>PTA</v>
      </c>
      <c r="C16" s="139">
        <f>137+1</f>
        <v>138</v>
      </c>
      <c r="D16" s="139">
        <v>133</v>
      </c>
      <c r="E16" s="139">
        <v>146</v>
      </c>
      <c r="F16" s="139">
        <v>139</v>
      </c>
      <c r="G16" s="187">
        <v>556</v>
      </c>
      <c r="H16" s="139">
        <v>145</v>
      </c>
      <c r="I16" s="139">
        <v>106</v>
      </c>
      <c r="J16" s="139">
        <v>160</v>
      </c>
      <c r="K16" s="139">
        <v>160</v>
      </c>
      <c r="L16" s="187">
        <v>571</v>
      </c>
      <c r="M16" s="139">
        <v>167</v>
      </c>
      <c r="N16" s="139">
        <v>156</v>
      </c>
      <c r="O16" s="139">
        <v>131</v>
      </c>
      <c r="P16" s="139">
        <v>133</v>
      </c>
      <c r="Q16" s="187">
        <v>587</v>
      </c>
      <c r="R16" s="139">
        <v>168</v>
      </c>
      <c r="S16" s="139">
        <v>173</v>
      </c>
      <c r="T16" s="139">
        <v>134</v>
      </c>
      <c r="U16" s="139">
        <v>130</v>
      </c>
      <c r="V16" s="187">
        <v>605</v>
      </c>
      <c r="W16" s="139">
        <v>149</v>
      </c>
      <c r="X16" s="139">
        <v>109</v>
      </c>
      <c r="Y16" s="139">
        <v>157</v>
      </c>
      <c r="Z16" s="139">
        <v>108</v>
      </c>
      <c r="AA16" s="187">
        <v>523</v>
      </c>
      <c r="AB16" s="139">
        <v>142</v>
      </c>
      <c r="AC16" s="139">
        <v>148</v>
      </c>
      <c r="AD16" s="460">
        <v>120</v>
      </c>
      <c r="AE16" s="460">
        <v>98</v>
      </c>
      <c r="AF16" s="464">
        <v>508</v>
      </c>
      <c r="AG16" s="139">
        <v>151</v>
      </c>
      <c r="AH16" s="139">
        <v>163</v>
      </c>
      <c r="AI16" s="139">
        <v>173</v>
      </c>
      <c r="AJ16" s="460">
        <v>160</v>
      </c>
      <c r="AK16" s="464">
        <v>647</v>
      </c>
      <c r="AL16" s="460">
        <v>156</v>
      </c>
      <c r="AM16" s="577"/>
    </row>
    <row r="17" spans="2:39">
      <c r="B17" s="128" t="str">
        <f>names!A1953</f>
        <v>Pozostałe</v>
      </c>
      <c r="C17" s="139">
        <f>1081-4</f>
        <v>1077</v>
      </c>
      <c r="D17" s="139">
        <v>1036</v>
      </c>
      <c r="E17" s="139">
        <v>1136</v>
      </c>
      <c r="F17" s="139">
        <v>1108</v>
      </c>
      <c r="G17" s="187">
        <v>4357</v>
      </c>
      <c r="H17" s="139">
        <v>1125</v>
      </c>
      <c r="I17" s="139">
        <v>1104</v>
      </c>
      <c r="J17" s="139">
        <v>1136</v>
      </c>
      <c r="K17" s="139">
        <v>1125</v>
      </c>
      <c r="L17" s="187">
        <v>4490</v>
      </c>
      <c r="M17" s="139">
        <v>1102</v>
      </c>
      <c r="N17" s="139">
        <v>1139</v>
      </c>
      <c r="O17" s="139">
        <f>1137-1</f>
        <v>1136</v>
      </c>
      <c r="P17" s="139">
        <v>1131</v>
      </c>
      <c r="Q17" s="187">
        <v>4508</v>
      </c>
      <c r="R17" s="139">
        <v>1208</v>
      </c>
      <c r="S17" s="139">
        <f>1169+1</f>
        <v>1170</v>
      </c>
      <c r="T17" s="139">
        <v>1233</v>
      </c>
      <c r="U17" s="139">
        <f>1319</f>
        <v>1319</v>
      </c>
      <c r="V17" s="187">
        <f>4930</f>
        <v>4930</v>
      </c>
      <c r="W17" s="139">
        <v>1202</v>
      </c>
      <c r="X17" s="139">
        <f>1411+2</f>
        <v>1413</v>
      </c>
      <c r="Y17" s="139">
        <v>1273</v>
      </c>
      <c r="Z17" s="139">
        <v>1224</v>
      </c>
      <c r="AA17" s="187">
        <f>5111+1</f>
        <v>5112</v>
      </c>
      <c r="AB17" s="139">
        <f>1228</f>
        <v>1228</v>
      </c>
      <c r="AC17" s="139">
        <v>1225</v>
      </c>
      <c r="AD17" s="460">
        <f>1177-2</f>
        <v>1175</v>
      </c>
      <c r="AE17" s="460">
        <v>1250</v>
      </c>
      <c r="AF17" s="464">
        <v>4878</v>
      </c>
      <c r="AG17" s="139">
        <v>1187</v>
      </c>
      <c r="AH17" s="139">
        <f>1207-47</f>
        <v>1160</v>
      </c>
      <c r="AI17" s="139">
        <v>1272</v>
      </c>
      <c r="AJ17" s="460">
        <v>1147</v>
      </c>
      <c r="AK17" s="464">
        <v>4766</v>
      </c>
      <c r="AL17" s="460">
        <v>1188</v>
      </c>
      <c r="AM17" s="577"/>
    </row>
    <row r="18" spans="2:39" ht="6" customHeight="1" thickBot="1">
      <c r="B18" s="101"/>
      <c r="C18" s="748"/>
      <c r="D18" s="748"/>
      <c r="E18" s="748"/>
      <c r="F18" s="748"/>
      <c r="G18" s="186"/>
      <c r="H18" s="748"/>
      <c r="I18" s="748"/>
      <c r="J18" s="748"/>
      <c r="K18" s="748"/>
      <c r="L18" s="186"/>
      <c r="M18" s="748"/>
      <c r="N18" s="748"/>
      <c r="O18" s="748"/>
      <c r="P18" s="748"/>
      <c r="Q18" s="186"/>
      <c r="R18" s="748"/>
      <c r="S18" s="748"/>
      <c r="T18" s="748"/>
      <c r="U18" s="748"/>
      <c r="V18" s="186"/>
      <c r="W18" s="748"/>
      <c r="X18" s="748"/>
      <c r="Y18" s="748"/>
      <c r="Z18" s="748"/>
      <c r="AA18" s="186"/>
      <c r="AB18" s="748"/>
      <c r="AC18" s="748"/>
      <c r="AD18" s="748"/>
      <c r="AE18" s="748"/>
      <c r="AF18" s="463"/>
      <c r="AG18" s="748"/>
      <c r="AH18" s="748"/>
      <c r="AI18" s="748"/>
      <c r="AJ18" s="748"/>
      <c r="AK18" s="463"/>
      <c r="AL18" s="748"/>
      <c r="AM18" s="577"/>
    </row>
    <row r="19" spans="2:39" ht="13.5" thickBot="1">
      <c r="B19" s="97" t="str">
        <f>names!A1955</f>
        <v>Segment Detal</v>
      </c>
      <c r="C19" s="134">
        <f t="shared" ref="C19:J19" si="4">C20+C21</f>
        <v>1659</v>
      </c>
      <c r="D19" s="134">
        <f t="shared" si="4"/>
        <v>1933</v>
      </c>
      <c r="E19" s="134">
        <f t="shared" si="4"/>
        <v>2052</v>
      </c>
      <c r="F19" s="134">
        <f t="shared" si="4"/>
        <v>1872</v>
      </c>
      <c r="G19" s="185">
        <f t="shared" si="4"/>
        <v>7516</v>
      </c>
      <c r="H19" s="134">
        <f t="shared" si="4"/>
        <v>1763</v>
      </c>
      <c r="I19" s="134">
        <f t="shared" si="4"/>
        <v>1957</v>
      </c>
      <c r="J19" s="134">
        <f t="shared" si="4"/>
        <v>2088</v>
      </c>
      <c r="K19" s="134">
        <v>1968</v>
      </c>
      <c r="L19" s="185">
        <f t="shared" ref="L19:Q19" si="5">L20+L21</f>
        <v>7776</v>
      </c>
      <c r="M19" s="134">
        <f t="shared" si="5"/>
        <v>1839</v>
      </c>
      <c r="N19" s="134">
        <f t="shared" si="5"/>
        <v>1983</v>
      </c>
      <c r="O19" s="134">
        <f t="shared" si="5"/>
        <v>2133</v>
      </c>
      <c r="P19" s="134">
        <f t="shared" si="5"/>
        <v>2031</v>
      </c>
      <c r="Q19" s="185">
        <f t="shared" si="5"/>
        <v>7986</v>
      </c>
      <c r="R19" s="134">
        <f t="shared" ref="R19:AA19" si="6">R20+R21</f>
        <v>1910</v>
      </c>
      <c r="S19" s="134">
        <f t="shared" si="6"/>
        <v>2054</v>
      </c>
      <c r="T19" s="134">
        <f t="shared" si="6"/>
        <v>2171</v>
      </c>
      <c r="U19" s="134">
        <f t="shared" si="6"/>
        <v>2052</v>
      </c>
      <c r="V19" s="185">
        <f t="shared" si="6"/>
        <v>8187</v>
      </c>
      <c r="W19" s="134">
        <f t="shared" si="6"/>
        <v>1953</v>
      </c>
      <c r="X19" s="134">
        <f t="shared" si="6"/>
        <v>2262</v>
      </c>
      <c r="Y19" s="134">
        <f t="shared" si="6"/>
        <v>2336</v>
      </c>
      <c r="Z19" s="134">
        <f t="shared" si="6"/>
        <v>2268</v>
      </c>
      <c r="AA19" s="185">
        <f t="shared" si="6"/>
        <v>8819</v>
      </c>
      <c r="AB19" s="134">
        <f t="shared" ref="AB19:AK19" si="7">AB20+AB21</f>
        <v>2167</v>
      </c>
      <c r="AC19" s="134">
        <f t="shared" si="7"/>
        <v>2375</v>
      </c>
      <c r="AD19" s="134">
        <f t="shared" si="7"/>
        <v>2501</v>
      </c>
      <c r="AE19" s="134">
        <f t="shared" si="7"/>
        <v>2405</v>
      </c>
      <c r="AF19" s="185">
        <f t="shared" si="7"/>
        <v>9448</v>
      </c>
      <c r="AG19" s="134">
        <f t="shared" si="7"/>
        <v>2236</v>
      </c>
      <c r="AH19" s="134">
        <f t="shared" si="7"/>
        <v>2480</v>
      </c>
      <c r="AI19" s="134">
        <f t="shared" si="7"/>
        <v>2620</v>
      </c>
      <c r="AJ19" s="134">
        <f t="shared" si="7"/>
        <v>2481</v>
      </c>
      <c r="AK19" s="185">
        <f t="shared" si="7"/>
        <v>9817</v>
      </c>
      <c r="AL19" s="134">
        <f>SUM(AL20:AL21)</f>
        <v>2213</v>
      </c>
      <c r="AM19" s="577"/>
    </row>
    <row r="20" spans="2:39" ht="22.5">
      <c r="B20" s="102" t="str">
        <f>names!A1956</f>
        <v>Lekkie destylaty
[benzyna, LPG]</v>
      </c>
      <c r="C20" s="141">
        <v>624</v>
      </c>
      <c r="D20" s="141">
        <v>733</v>
      </c>
      <c r="E20" s="141">
        <v>768</v>
      </c>
      <c r="F20" s="141">
        <v>707</v>
      </c>
      <c r="G20" s="188">
        <v>2832</v>
      </c>
      <c r="H20" s="141">
        <v>655</v>
      </c>
      <c r="I20" s="141">
        <v>742</v>
      </c>
      <c r="J20" s="141">
        <v>783</v>
      </c>
      <c r="K20" s="141">
        <v>736</v>
      </c>
      <c r="L20" s="188">
        <v>2916</v>
      </c>
      <c r="M20" s="141">
        <f>667</f>
        <v>667</v>
      </c>
      <c r="N20" s="141">
        <v>768</v>
      </c>
      <c r="O20" s="141">
        <v>807</v>
      </c>
      <c r="P20" s="141">
        <v>758</v>
      </c>
      <c r="Q20" s="188">
        <v>3000</v>
      </c>
      <c r="R20" s="141">
        <v>718</v>
      </c>
      <c r="S20" s="141">
        <v>800</v>
      </c>
      <c r="T20" s="141">
        <v>842</v>
      </c>
      <c r="U20" s="141">
        <v>776</v>
      </c>
      <c r="V20" s="188">
        <v>3136</v>
      </c>
      <c r="W20" s="141">
        <v>743</v>
      </c>
      <c r="X20" s="141">
        <v>871</v>
      </c>
      <c r="Y20" s="141">
        <v>895</v>
      </c>
      <c r="Z20" s="141">
        <v>830</v>
      </c>
      <c r="AA20" s="188">
        <v>3339</v>
      </c>
      <c r="AB20" s="141">
        <v>786</v>
      </c>
      <c r="AC20" s="141">
        <v>904</v>
      </c>
      <c r="AD20" s="141">
        <v>946</v>
      </c>
      <c r="AE20" s="141">
        <v>910</v>
      </c>
      <c r="AF20" s="465">
        <v>3546</v>
      </c>
      <c r="AG20" s="141">
        <v>849</v>
      </c>
      <c r="AH20" s="141">
        <v>973</v>
      </c>
      <c r="AI20" s="141">
        <v>1012</v>
      </c>
      <c r="AJ20" s="141">
        <v>942</v>
      </c>
      <c r="AK20" s="465">
        <v>3776</v>
      </c>
      <c r="AL20" s="141">
        <v>855</v>
      </c>
      <c r="AM20" s="577"/>
    </row>
    <row r="21" spans="2:39" ht="22.5">
      <c r="B21" s="100" t="str">
        <f>names!A1957</f>
        <v>Średnie destylaty
[olej napędowy, lekki olej opałowy]</v>
      </c>
      <c r="C21" s="139">
        <v>1035</v>
      </c>
      <c r="D21" s="139">
        <v>1200</v>
      </c>
      <c r="E21" s="139">
        <v>1284</v>
      </c>
      <c r="F21" s="139">
        <v>1165</v>
      </c>
      <c r="G21" s="187">
        <v>4684</v>
      </c>
      <c r="H21" s="139">
        <v>1108</v>
      </c>
      <c r="I21" s="139">
        <v>1215</v>
      </c>
      <c r="J21" s="139">
        <v>1305</v>
      </c>
      <c r="K21" s="139">
        <v>1232</v>
      </c>
      <c r="L21" s="187">
        <v>4860</v>
      </c>
      <c r="M21" s="139">
        <f>1171+1</f>
        <v>1172</v>
      </c>
      <c r="N21" s="139">
        <f>1214+1</f>
        <v>1215</v>
      </c>
      <c r="O21" s="139">
        <v>1326</v>
      </c>
      <c r="P21" s="139">
        <v>1273</v>
      </c>
      <c r="Q21" s="187">
        <v>4986</v>
      </c>
      <c r="R21" s="139">
        <v>1192</v>
      </c>
      <c r="S21" s="139">
        <f>1253+1</f>
        <v>1254</v>
      </c>
      <c r="T21" s="139">
        <f>1329</f>
        <v>1329</v>
      </c>
      <c r="U21" s="139">
        <f>1276</f>
        <v>1276</v>
      </c>
      <c r="V21" s="187">
        <f>5050+1</f>
        <v>5051</v>
      </c>
      <c r="W21" s="139">
        <v>1210</v>
      </c>
      <c r="X21" s="139">
        <v>1391</v>
      </c>
      <c r="Y21" s="139">
        <v>1441</v>
      </c>
      <c r="Z21" s="139">
        <v>1438</v>
      </c>
      <c r="AA21" s="187">
        <v>5480</v>
      </c>
      <c r="AB21" s="139">
        <v>1381</v>
      </c>
      <c r="AC21" s="139">
        <v>1471</v>
      </c>
      <c r="AD21" s="139">
        <v>1555</v>
      </c>
      <c r="AE21" s="139">
        <v>1495</v>
      </c>
      <c r="AF21" s="464">
        <v>5902</v>
      </c>
      <c r="AG21" s="139">
        <v>1387</v>
      </c>
      <c r="AH21" s="139">
        <v>1507</v>
      </c>
      <c r="AI21" s="139">
        <v>1608</v>
      </c>
      <c r="AJ21" s="139">
        <v>1539</v>
      </c>
      <c r="AK21" s="464">
        <v>6041</v>
      </c>
      <c r="AL21" s="139">
        <v>1358</v>
      </c>
      <c r="AM21" s="577"/>
    </row>
    <row r="22" spans="2:39" ht="6" customHeight="1" thickBot="1">
      <c r="B22" s="101"/>
      <c r="C22" s="748"/>
      <c r="D22" s="748"/>
      <c r="E22" s="748"/>
      <c r="F22" s="748"/>
      <c r="G22" s="186"/>
      <c r="H22" s="748"/>
      <c r="I22" s="748"/>
      <c r="J22" s="748"/>
      <c r="K22" s="748"/>
      <c r="L22" s="186"/>
      <c r="M22" s="748"/>
      <c r="N22" s="748"/>
      <c r="O22" s="748"/>
      <c r="P22" s="748"/>
      <c r="Q22" s="186"/>
      <c r="R22" s="748"/>
      <c r="S22" s="748"/>
      <c r="T22" s="748"/>
      <c r="U22" s="748"/>
      <c r="V22" s="186"/>
      <c r="W22" s="748"/>
      <c r="X22" s="748"/>
      <c r="Y22" s="748"/>
      <c r="Z22" s="748"/>
      <c r="AA22" s="186"/>
      <c r="AB22" s="748"/>
      <c r="AC22" s="748"/>
      <c r="AD22" s="748"/>
      <c r="AE22" s="748"/>
      <c r="AF22" s="463"/>
      <c r="AG22" s="748"/>
      <c r="AH22" s="748"/>
      <c r="AI22" s="748"/>
      <c r="AJ22" s="748"/>
      <c r="AK22" s="463"/>
      <c r="AL22" s="748"/>
      <c r="AM22" s="577"/>
    </row>
    <row r="23" spans="2:39" ht="13.5" thickBot="1">
      <c r="B23" s="98" t="str">
        <f>names!A1959</f>
        <v>Segment Wydobycie</v>
      </c>
      <c r="C23" s="134">
        <v>0</v>
      </c>
      <c r="D23" s="134">
        <v>0</v>
      </c>
      <c r="E23" s="134">
        <v>0</v>
      </c>
      <c r="F23" s="134">
        <v>17</v>
      </c>
      <c r="G23" s="185">
        <v>17</v>
      </c>
      <c r="H23" s="134">
        <v>41</v>
      </c>
      <c r="I23" s="134">
        <v>50</v>
      </c>
      <c r="J23" s="134">
        <v>80</v>
      </c>
      <c r="K23" s="134">
        <v>87</v>
      </c>
      <c r="L23" s="185">
        <v>258</v>
      </c>
      <c r="M23" s="134">
        <v>71</v>
      </c>
      <c r="N23" s="134">
        <v>83</v>
      </c>
      <c r="O23" s="134">
        <v>75</v>
      </c>
      <c r="P23" s="134">
        <v>81</v>
      </c>
      <c r="Q23" s="185">
        <v>310</v>
      </c>
      <c r="R23" s="134">
        <v>136</v>
      </c>
      <c r="S23" s="134">
        <v>131</v>
      </c>
      <c r="T23" s="134">
        <v>144</v>
      </c>
      <c r="U23" s="134">
        <v>147</v>
      </c>
      <c r="V23" s="185">
        <v>558</v>
      </c>
      <c r="W23" s="134">
        <v>147</v>
      </c>
      <c r="X23" s="134">
        <v>153</v>
      </c>
      <c r="Y23" s="134">
        <v>172</v>
      </c>
      <c r="Z23" s="134">
        <v>166</v>
      </c>
      <c r="AA23" s="185">
        <v>638</v>
      </c>
      <c r="AB23" s="134">
        <v>171</v>
      </c>
      <c r="AC23" s="134">
        <v>182</v>
      </c>
      <c r="AD23" s="134">
        <v>172</v>
      </c>
      <c r="AE23" s="134">
        <v>203</v>
      </c>
      <c r="AF23" s="185">
        <v>728</v>
      </c>
      <c r="AG23" s="134">
        <v>184</v>
      </c>
      <c r="AH23" s="134">
        <v>179</v>
      </c>
      <c r="AI23" s="134">
        <v>180</v>
      </c>
      <c r="AJ23" s="134">
        <v>193</v>
      </c>
      <c r="AK23" s="185">
        <v>736</v>
      </c>
      <c r="AL23" s="134">
        <v>204</v>
      </c>
      <c r="AM23" s="577"/>
    </row>
    <row r="24" spans="2:39" ht="6" customHeight="1" thickBot="1">
      <c r="B24" s="101"/>
      <c r="C24" s="748"/>
      <c r="D24" s="748"/>
      <c r="E24" s="748"/>
      <c r="F24" s="748"/>
      <c r="G24" s="186"/>
      <c r="H24" s="748"/>
      <c r="I24" s="748"/>
      <c r="J24" s="748"/>
      <c r="K24" s="748"/>
      <c r="L24" s="186"/>
      <c r="M24" s="748"/>
      <c r="N24" s="748"/>
      <c r="O24" s="748"/>
      <c r="P24" s="748"/>
      <c r="Q24" s="186"/>
      <c r="R24" s="748"/>
      <c r="S24" s="748"/>
      <c r="T24" s="748"/>
      <c r="U24" s="748"/>
      <c r="V24" s="186"/>
      <c r="W24" s="748"/>
      <c r="X24" s="748"/>
      <c r="Y24" s="748"/>
      <c r="Z24" s="748"/>
      <c r="AA24" s="186"/>
      <c r="AB24" s="748"/>
      <c r="AC24" s="748"/>
      <c r="AD24" s="748"/>
      <c r="AE24" s="748"/>
      <c r="AF24" s="463"/>
      <c r="AG24" s="748"/>
      <c r="AH24" s="748"/>
      <c r="AI24" s="748"/>
      <c r="AJ24" s="748"/>
      <c r="AK24" s="463"/>
      <c r="AL24" s="748"/>
      <c r="AM24" s="577"/>
    </row>
    <row r="25" spans="2:39" ht="13.5" thickBot="1">
      <c r="B25" s="98" t="str">
        <f>names!A1961</f>
        <v>GK ORLEN - razem</v>
      </c>
      <c r="C25" s="140">
        <f t="shared" ref="C25:J25" si="8">C7+C19+C23</f>
        <v>8596</v>
      </c>
      <c r="D25" s="140">
        <f t="shared" si="8"/>
        <v>8699</v>
      </c>
      <c r="E25" s="140">
        <f t="shared" si="8"/>
        <v>9524</v>
      </c>
      <c r="F25" s="140">
        <f t="shared" si="8"/>
        <v>9090</v>
      </c>
      <c r="G25" s="189">
        <f t="shared" si="8"/>
        <v>35909</v>
      </c>
      <c r="H25" s="140">
        <f t="shared" si="8"/>
        <v>7956</v>
      </c>
      <c r="I25" s="140">
        <f t="shared" si="8"/>
        <v>8649</v>
      </c>
      <c r="J25" s="140">
        <f t="shared" si="8"/>
        <v>9784</v>
      </c>
      <c r="K25" s="140">
        <v>9351</v>
      </c>
      <c r="L25" s="189">
        <f t="shared" ref="L25:Q25" si="9">L7+L19+L23</f>
        <v>35740</v>
      </c>
      <c r="M25" s="140">
        <f t="shared" si="9"/>
        <v>8666</v>
      </c>
      <c r="N25" s="140">
        <f t="shared" si="9"/>
        <v>9921</v>
      </c>
      <c r="O25" s="140">
        <f t="shared" si="9"/>
        <v>10298</v>
      </c>
      <c r="P25" s="140">
        <f t="shared" si="9"/>
        <v>9791</v>
      </c>
      <c r="Q25" s="189">
        <f t="shared" si="9"/>
        <v>38676</v>
      </c>
      <c r="R25" s="140">
        <f t="shared" ref="R25:AA25" si="10">R7+R19+R23</f>
        <v>9309</v>
      </c>
      <c r="S25" s="140">
        <f t="shared" si="10"/>
        <v>9388</v>
      </c>
      <c r="T25" s="140">
        <f t="shared" si="10"/>
        <v>10378</v>
      </c>
      <c r="U25" s="140">
        <f t="shared" si="10"/>
        <v>10378</v>
      </c>
      <c r="V25" s="189">
        <f t="shared" si="10"/>
        <v>39453</v>
      </c>
      <c r="W25" s="140">
        <f t="shared" si="10"/>
        <v>9683</v>
      </c>
      <c r="X25" s="140">
        <f t="shared" si="10"/>
        <v>10321</v>
      </c>
      <c r="Y25" s="140">
        <f t="shared" si="10"/>
        <v>11454</v>
      </c>
      <c r="Z25" s="140">
        <f t="shared" si="10"/>
        <v>10924</v>
      </c>
      <c r="AA25" s="189">
        <f t="shared" si="10"/>
        <v>42382</v>
      </c>
      <c r="AB25" s="140">
        <f t="shared" ref="AB25:AK25" si="11">AB7+AB19+AB23</f>
        <v>10067</v>
      </c>
      <c r="AC25" s="140">
        <f t="shared" si="11"/>
        <v>10512</v>
      </c>
      <c r="AD25" s="140">
        <f t="shared" si="11"/>
        <v>11152</v>
      </c>
      <c r="AE25" s="140">
        <f t="shared" si="11"/>
        <v>11161</v>
      </c>
      <c r="AF25" s="189">
        <f t="shared" si="11"/>
        <v>42892</v>
      </c>
      <c r="AG25" s="140">
        <f t="shared" si="11"/>
        <v>10221</v>
      </c>
      <c r="AH25" s="140">
        <f t="shared" si="11"/>
        <v>10768</v>
      </c>
      <c r="AI25" s="140">
        <f t="shared" si="11"/>
        <v>11431</v>
      </c>
      <c r="AJ25" s="140">
        <f t="shared" si="11"/>
        <v>10873</v>
      </c>
      <c r="AK25" s="189">
        <f t="shared" si="11"/>
        <v>43293</v>
      </c>
      <c r="AL25" s="140">
        <f>SUM(AL7,AL19,AL23)</f>
        <v>9416</v>
      </c>
      <c r="AM25" s="577"/>
    </row>
    <row r="26" spans="2:39" ht="22.5" customHeight="1">
      <c r="B26" s="1020" t="str">
        <f>names!A1962</f>
        <v>*) Dane przekształcone – zmiana metody konsolidacji spółek Basell ORLEN Polyolefines Sp. z o.o. i Płocki Park Przemysłowo-Technologiczny S.A. zgodnie z MSSF 11.</v>
      </c>
      <c r="C26" s="1009"/>
      <c r="D26" s="1009"/>
      <c r="E26" s="1009"/>
      <c r="F26" s="1009"/>
      <c r="G26" s="1009"/>
      <c r="H26" s="1009"/>
      <c r="I26" s="1009"/>
      <c r="J26" s="1009"/>
      <c r="K26" s="1009"/>
      <c r="L26" s="1009"/>
      <c r="M26" s="1009"/>
      <c r="N26" s="1009"/>
      <c r="O26" s="1009"/>
      <c r="P26" s="1009"/>
      <c r="Q26" s="1009"/>
      <c r="R26" s="1009"/>
      <c r="S26" s="1009"/>
      <c r="T26" s="1009"/>
      <c r="U26" s="1009"/>
      <c r="V26" s="1009"/>
      <c r="W26" s="1009"/>
      <c r="X26" s="1009"/>
      <c r="Y26" s="1009"/>
      <c r="Z26" s="1009"/>
      <c r="AA26" s="1009"/>
      <c r="AB26" s="1009"/>
      <c r="AC26" s="1009"/>
      <c r="AD26" s="1009"/>
      <c r="AE26" s="1009"/>
      <c r="AF26" s="1009"/>
      <c r="AG26" s="1009"/>
      <c r="AH26" s="1009"/>
      <c r="AI26" s="1009"/>
      <c r="AJ26" s="1009"/>
      <c r="AK26" s="1009"/>
      <c r="AL26" s="749"/>
      <c r="AM26" s="577"/>
    </row>
    <row r="27" spans="2:39">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2:39">
      <c r="B28" s="577"/>
      <c r="C28" s="577"/>
      <c r="D28" s="577"/>
      <c r="E28" s="577"/>
      <c r="F28" s="577"/>
      <c r="G28" s="577"/>
      <c r="H28" s="577"/>
      <c r="I28" s="577"/>
      <c r="J28" s="577"/>
      <c r="K28" s="577"/>
      <c r="L28" s="57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7"/>
      <c r="AL28" s="577"/>
    </row>
    <row r="29" spans="2:39">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row>
    <row r="31" spans="2:39">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2:39">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3:38">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3:38">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sheetData>
  <mergeCells count="1">
    <mergeCell ref="B26:AK26"/>
  </mergeCells>
  <conditionalFormatting sqref="B28:AL28">
    <cfRule type="cellIs" dxfId="7" priority="3" operator="equal">
      <formula>FALSE</formula>
    </cfRule>
  </conditionalFormatting>
  <conditionalFormatting sqref="AM2:AM26">
    <cfRule type="cellIs" dxfId="6"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0.34998626667073579"/>
    <pageSetUpPr fitToPage="1"/>
  </sheetPr>
  <dimension ref="B2:AF91"/>
  <sheetViews>
    <sheetView view="pageBreakPreview" zoomScaleNormal="100" zoomScaleSheetLayoutView="100" workbookViewId="0">
      <pane xSplit="2" ySplit="4" topLeftCell="G26" activePane="bottomRight" state="frozen"/>
      <selection activeCell="B7" sqref="B7"/>
      <selection pane="topRight" activeCell="B7" sqref="B7"/>
      <selection pane="bottomLeft" activeCell="B7" sqref="B7"/>
      <selection pane="bottomRight"/>
    </sheetView>
  </sheetViews>
  <sheetFormatPr defaultRowHeight="12.75" outlineLevelRow="1" outlineLevelCol="1"/>
  <cols>
    <col min="1" max="1" width="1.28515625" customWidth="1"/>
    <col min="2" max="2" width="47.28515625" style="1" customWidth="1"/>
    <col min="3" max="6" width="8.5703125" style="1" hidden="1" customWidth="1" outlineLevel="1"/>
    <col min="7" max="7" width="8.5703125" style="1" customWidth="1" collapsed="1"/>
    <col min="8" max="11" width="8.5703125" style="1" hidden="1" customWidth="1" outlineLevel="1"/>
    <col min="12" max="12" width="8.5703125" style="1" customWidth="1" collapsed="1"/>
    <col min="13" max="16" width="8.5703125" style="1" hidden="1" customWidth="1" outlineLevel="1"/>
    <col min="17" max="17" width="8.5703125" style="1" customWidth="1" collapsed="1"/>
    <col min="18" max="21" width="8.5703125" style="1" hidden="1" customWidth="1" outlineLevel="1"/>
    <col min="22" max="22" width="8.5703125" style="1" customWidth="1" collapsed="1"/>
    <col min="23" max="26" width="8.5703125" style="1" hidden="1" customWidth="1" outlineLevel="1"/>
    <col min="27" max="27" width="8.5703125" style="1" customWidth="1" collapsed="1"/>
    <col min="28" max="31" width="8.5703125" style="1" hidden="1" customWidth="1" outlineLevel="1"/>
    <col min="32" max="32" width="8.5703125" style="1" customWidth="1" collapsed="1"/>
  </cols>
  <sheetData>
    <row r="2" spans="2:32" ht="15.75">
      <c r="B2" s="745" t="str">
        <f>names!$A803</f>
        <v>Sprzedaż wolumenowa</v>
      </c>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row>
    <row r="3" spans="2:32" ht="10.15" customHeight="1">
      <c r="B3" s="744"/>
      <c r="C3" s="744"/>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row>
    <row r="4" spans="2:32" ht="35.25" customHeight="1">
      <c r="B4" s="15" t="str">
        <f>names!$A805</f>
        <v>Sprzedaż
tys. ton</v>
      </c>
      <c r="C4" s="15" t="str">
        <f>names!$A392</f>
        <v>I kw.
2019*</v>
      </c>
      <c r="D4" s="15" t="str">
        <f>names!$A394</f>
        <v>II kw.
2019*</v>
      </c>
      <c r="E4" s="15" t="str">
        <f>names!$A396</f>
        <v>III kw.
2019*</v>
      </c>
      <c r="F4" s="15" t="str">
        <f>names!$A398</f>
        <v>IV kw.
2019*</v>
      </c>
      <c r="G4" s="15" t="str">
        <f>names!$A400</f>
        <v>12 m-cy
2019*</v>
      </c>
      <c r="H4" s="15" t="str">
        <f>names!$A402</f>
        <v>I kw.
2020*</v>
      </c>
      <c r="I4" s="15" t="str">
        <f>names!$A404</f>
        <v>II kw.
2020</v>
      </c>
      <c r="J4" s="15" t="str">
        <f>names!$A406</f>
        <v>III kw.
2020</v>
      </c>
      <c r="K4" s="15" t="str">
        <f>names!$A408</f>
        <v>IV kw.
2020</v>
      </c>
      <c r="L4" s="15" t="str">
        <f>names!$A153</f>
        <v>12 m-cy 2020</v>
      </c>
      <c r="M4" s="15" t="str">
        <f>names!$A154</f>
        <v>I kw. 
2021</v>
      </c>
      <c r="N4" s="15" t="str">
        <f>names!$A155</f>
        <v>II kw. 
2021</v>
      </c>
      <c r="O4" s="15" t="str">
        <f>names!$A156</f>
        <v>III kw. 
2021</v>
      </c>
      <c r="P4" s="15" t="str">
        <f>names!$A157</f>
        <v>IV kw. 
2021</v>
      </c>
      <c r="Q4" s="15" t="str">
        <f>names!$A158</f>
        <v>12 m-cy 2021</v>
      </c>
      <c r="R4" s="15" t="str">
        <f>names!$A159</f>
        <v>I kw. 
2022</v>
      </c>
      <c r="S4" s="15" t="str">
        <f>names!$A160</f>
        <v>II kw. 
2022</v>
      </c>
      <c r="T4" s="15" t="str">
        <f>names!$A161</f>
        <v>III kw. 
2022</v>
      </c>
      <c r="U4" s="15" t="str">
        <f>names!$A162</f>
        <v>IV kw. 
2022</v>
      </c>
      <c r="V4" s="15" t="str">
        <f>names!$A163</f>
        <v>12 m-cy 2022</v>
      </c>
      <c r="W4" s="15" t="str">
        <f>names!$A164</f>
        <v>I kw. 
2023</v>
      </c>
      <c r="X4" s="15" t="str">
        <f>names!$A165</f>
        <v>II kw. 
2023</v>
      </c>
      <c r="Y4" s="15" t="str">
        <f>names!$A166</f>
        <v>III kw. 
2023</v>
      </c>
      <c r="Z4" s="15" t="str">
        <f>names!$A167</f>
        <v>IV kw. 
2023</v>
      </c>
      <c r="AA4" s="15" t="str">
        <f>names!$A168</f>
        <v>12 m-cy 2023</v>
      </c>
      <c r="AB4" s="15" t="str">
        <f>names!$A169</f>
        <v>I kw. 
2024</v>
      </c>
      <c r="AC4" s="15" t="str">
        <f>names!$A170</f>
        <v>II kw. 
2024</v>
      </c>
      <c r="AD4" s="15" t="str">
        <f>names!$A171</f>
        <v>III kw. 
2024</v>
      </c>
      <c r="AE4" s="15" t="str">
        <f>names!$A172</f>
        <v>IV kw. 
2024</v>
      </c>
      <c r="AF4" s="15" t="str">
        <f>names!$A173</f>
        <v>12 m-cy 2024</v>
      </c>
    </row>
    <row r="5" spans="2:32" ht="6.75" customHeight="1">
      <c r="B5" s="746"/>
      <c r="C5" s="746"/>
      <c r="D5" s="746"/>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row>
    <row r="6" spans="2:32" ht="6.75" customHeight="1" thickBot="1">
      <c r="B6" s="747"/>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7"/>
    </row>
    <row r="7" spans="2:32" ht="13.5" thickBot="1">
      <c r="B7" s="946" t="str">
        <f>names!$A808</f>
        <v>Segment Rafineria</v>
      </c>
      <c r="C7" s="134">
        <v>6438</v>
      </c>
      <c r="D7" s="134">
        <v>6811</v>
      </c>
      <c r="E7" s="134">
        <v>7289</v>
      </c>
      <c r="F7" s="134">
        <v>7015</v>
      </c>
      <c r="G7" s="185">
        <v>27553</v>
      </c>
      <c r="H7" s="134">
        <v>5696</v>
      </c>
      <c r="I7" s="134">
        <v>5222</v>
      </c>
      <c r="J7" s="134">
        <v>6441</v>
      </c>
      <c r="K7" s="134">
        <v>6201</v>
      </c>
      <c r="L7" s="185">
        <v>23560</v>
      </c>
      <c r="M7" s="134">
        <v>5049</v>
      </c>
      <c r="N7" s="134">
        <v>5797</v>
      </c>
      <c r="O7" s="134">
        <v>6747</v>
      </c>
      <c r="P7" s="134">
        <v>6796</v>
      </c>
      <c r="Q7" s="185">
        <v>24389</v>
      </c>
      <c r="R7" s="134">
        <v>5912</v>
      </c>
      <c r="S7" s="134">
        <v>5915</v>
      </c>
      <c r="T7" s="134">
        <v>8933</v>
      </c>
      <c r="U7" s="134">
        <v>9698</v>
      </c>
      <c r="V7" s="185">
        <v>30458</v>
      </c>
      <c r="W7" s="134">
        <v>7432</v>
      </c>
      <c r="X7" s="134">
        <v>8036</v>
      </c>
      <c r="Y7" s="134">
        <v>8771</v>
      </c>
      <c r="Z7" s="134">
        <v>8702</v>
      </c>
      <c r="AA7" s="185">
        <v>32941</v>
      </c>
      <c r="AB7" s="134">
        <v>7331</v>
      </c>
      <c r="AC7" s="134">
        <v>7879</v>
      </c>
      <c r="AD7" s="134">
        <v>8296</v>
      </c>
      <c r="AE7" s="134">
        <v>7904</v>
      </c>
      <c r="AF7" s="185">
        <v>31410</v>
      </c>
    </row>
    <row r="8" spans="2:32">
      <c r="B8" s="947" t="str">
        <f>names!$A809</f>
        <v>Lekkie destylaty, w tym:</v>
      </c>
      <c r="C8" s="459">
        <f t="shared" ref="C8:G8" si="0">SUM(C9,C10)</f>
        <v>1206</v>
      </c>
      <c r="D8" s="459">
        <f t="shared" si="0"/>
        <v>1349</v>
      </c>
      <c r="E8" s="459">
        <f t="shared" si="0"/>
        <v>1339</v>
      </c>
      <c r="F8" s="459">
        <f t="shared" si="0"/>
        <v>1337</v>
      </c>
      <c r="G8" s="463">
        <f t="shared" si="0"/>
        <v>5231</v>
      </c>
      <c r="H8" s="459">
        <f>SUM(H9,H10)</f>
        <v>1066</v>
      </c>
      <c r="I8" s="459">
        <f t="shared" ref="I8:AF8" si="1">SUM(I9,I10)</f>
        <v>1092</v>
      </c>
      <c r="J8" s="459">
        <f t="shared" si="1"/>
        <v>1246</v>
      </c>
      <c r="K8" s="459">
        <f t="shared" si="1"/>
        <v>1126</v>
      </c>
      <c r="L8" s="463">
        <f t="shared" si="1"/>
        <v>4530</v>
      </c>
      <c r="M8" s="459">
        <f t="shared" si="1"/>
        <v>850</v>
      </c>
      <c r="N8" s="459">
        <f t="shared" si="1"/>
        <v>1225</v>
      </c>
      <c r="O8" s="459">
        <f t="shared" si="1"/>
        <v>1361</v>
      </c>
      <c r="P8" s="459">
        <f t="shared" si="1"/>
        <v>1320</v>
      </c>
      <c r="Q8" s="463">
        <f t="shared" si="1"/>
        <v>4756</v>
      </c>
      <c r="R8" s="459">
        <f t="shared" si="1"/>
        <v>1132</v>
      </c>
      <c r="S8" s="459">
        <f t="shared" si="1"/>
        <v>925</v>
      </c>
      <c r="T8" s="459">
        <f t="shared" si="1"/>
        <v>1455</v>
      </c>
      <c r="U8" s="459">
        <f t="shared" si="1"/>
        <v>1752</v>
      </c>
      <c r="V8" s="463">
        <f t="shared" si="1"/>
        <v>5264</v>
      </c>
      <c r="W8" s="459">
        <f t="shared" si="1"/>
        <v>1381</v>
      </c>
      <c r="X8" s="459">
        <f t="shared" si="1"/>
        <v>1526</v>
      </c>
      <c r="Y8" s="459">
        <f t="shared" si="1"/>
        <v>1587</v>
      </c>
      <c r="Z8" s="459">
        <f t="shared" si="1"/>
        <v>1478</v>
      </c>
      <c r="AA8" s="463">
        <f t="shared" si="1"/>
        <v>5972</v>
      </c>
      <c r="AB8" s="459">
        <f t="shared" si="1"/>
        <v>1437</v>
      </c>
      <c r="AC8" s="459">
        <f t="shared" si="1"/>
        <v>1469</v>
      </c>
      <c r="AD8" s="459">
        <f t="shared" si="1"/>
        <v>1484</v>
      </c>
      <c r="AE8" s="459">
        <f t="shared" si="1"/>
        <v>1347</v>
      </c>
      <c r="AF8" s="463">
        <f t="shared" si="1"/>
        <v>5737</v>
      </c>
    </row>
    <row r="9" spans="2:32" s="516" customFormat="1">
      <c r="B9" s="948" t="str">
        <f>names!$A810</f>
        <v xml:space="preserve">  - benzyna</v>
      </c>
      <c r="C9" s="514">
        <v>1057</v>
      </c>
      <c r="D9" s="514">
        <v>1194</v>
      </c>
      <c r="E9" s="514">
        <v>1156</v>
      </c>
      <c r="F9" s="514">
        <v>1181</v>
      </c>
      <c r="G9" s="515">
        <v>4588</v>
      </c>
      <c r="H9" s="514">
        <v>938</v>
      </c>
      <c r="I9" s="514">
        <v>958</v>
      </c>
      <c r="J9" s="514">
        <v>1105</v>
      </c>
      <c r="K9" s="514">
        <v>993</v>
      </c>
      <c r="L9" s="515">
        <v>3994</v>
      </c>
      <c r="M9" s="514">
        <v>763</v>
      </c>
      <c r="N9" s="514">
        <v>1099</v>
      </c>
      <c r="O9" s="514">
        <v>1229</v>
      </c>
      <c r="P9" s="514">
        <v>1198</v>
      </c>
      <c r="Q9" s="515">
        <v>4289</v>
      </c>
      <c r="R9" s="514">
        <v>1018</v>
      </c>
      <c r="S9" s="514">
        <v>813</v>
      </c>
      <c r="T9" s="514">
        <v>1277</v>
      </c>
      <c r="U9" s="582">
        <v>1556</v>
      </c>
      <c r="V9" s="583">
        <v>4664</v>
      </c>
      <c r="W9" s="582">
        <v>1228</v>
      </c>
      <c r="X9" s="514">
        <v>1357</v>
      </c>
      <c r="Y9" s="514">
        <v>1411</v>
      </c>
      <c r="Z9" s="582">
        <v>1316</v>
      </c>
      <c r="AA9" s="583">
        <v>5312</v>
      </c>
      <c r="AB9" s="582">
        <v>1312</v>
      </c>
      <c r="AC9" s="514">
        <v>1317</v>
      </c>
      <c r="AD9" s="514">
        <v>1330</v>
      </c>
      <c r="AE9" s="582">
        <v>1200</v>
      </c>
      <c r="AF9" s="583">
        <v>5159</v>
      </c>
    </row>
    <row r="10" spans="2:32" s="516" customFormat="1">
      <c r="B10" s="948" t="str">
        <f>names!$A811</f>
        <v xml:space="preserve">  - LPG</v>
      </c>
      <c r="C10" s="514">
        <v>149</v>
      </c>
      <c r="D10" s="514">
        <v>155</v>
      </c>
      <c r="E10" s="514">
        <v>183</v>
      </c>
      <c r="F10" s="514">
        <v>156</v>
      </c>
      <c r="G10" s="515">
        <v>643</v>
      </c>
      <c r="H10" s="514">
        <v>128</v>
      </c>
      <c r="I10" s="514">
        <v>134</v>
      </c>
      <c r="J10" s="514">
        <v>141</v>
      </c>
      <c r="K10" s="514">
        <v>133</v>
      </c>
      <c r="L10" s="515">
        <v>536</v>
      </c>
      <c r="M10" s="514">
        <v>87</v>
      </c>
      <c r="N10" s="514">
        <v>126</v>
      </c>
      <c r="O10" s="514">
        <v>132</v>
      </c>
      <c r="P10" s="514">
        <v>122</v>
      </c>
      <c r="Q10" s="515">
        <v>467</v>
      </c>
      <c r="R10" s="514">
        <v>114</v>
      </c>
      <c r="S10" s="514">
        <v>112</v>
      </c>
      <c r="T10" s="514">
        <v>178</v>
      </c>
      <c r="U10" s="582">
        <v>196</v>
      </c>
      <c r="V10" s="583">
        <v>600</v>
      </c>
      <c r="W10" s="582">
        <v>153</v>
      </c>
      <c r="X10" s="514">
        <v>169</v>
      </c>
      <c r="Y10" s="514">
        <v>176</v>
      </c>
      <c r="Z10" s="582">
        <v>162</v>
      </c>
      <c r="AA10" s="583">
        <v>660</v>
      </c>
      <c r="AB10" s="582">
        <v>125</v>
      </c>
      <c r="AC10" s="514">
        <v>152</v>
      </c>
      <c r="AD10" s="514">
        <v>154</v>
      </c>
      <c r="AE10" s="582">
        <v>147</v>
      </c>
      <c r="AF10" s="583">
        <v>578</v>
      </c>
    </row>
    <row r="11" spans="2:32">
      <c r="B11" s="949" t="str">
        <f>names!$A812</f>
        <v>Średnie destylaty, w tym:</v>
      </c>
      <c r="C11" s="520">
        <f t="shared" ref="C11:G11" si="2">SUM(C12:C14)</f>
        <v>3279</v>
      </c>
      <c r="D11" s="520">
        <f t="shared" si="2"/>
        <v>3442</v>
      </c>
      <c r="E11" s="520">
        <f t="shared" si="2"/>
        <v>3703</v>
      </c>
      <c r="F11" s="520">
        <f t="shared" si="2"/>
        <v>3550</v>
      </c>
      <c r="G11" s="521">
        <f t="shared" si="2"/>
        <v>13974</v>
      </c>
      <c r="H11" s="520">
        <f>SUM(H12:H14)</f>
        <v>2873</v>
      </c>
      <c r="I11" s="520">
        <f t="shared" ref="I11:AF11" si="3">SUM(I12:I14)</f>
        <v>2641</v>
      </c>
      <c r="J11" s="520">
        <f t="shared" si="3"/>
        <v>3218</v>
      </c>
      <c r="K11" s="520">
        <f t="shared" si="3"/>
        <v>3067</v>
      </c>
      <c r="L11" s="521">
        <f t="shared" si="3"/>
        <v>11799</v>
      </c>
      <c r="M11" s="520">
        <f t="shared" si="3"/>
        <v>2493</v>
      </c>
      <c r="N11" s="520">
        <f t="shared" si="3"/>
        <v>2993</v>
      </c>
      <c r="O11" s="520">
        <f t="shared" si="3"/>
        <v>3426</v>
      </c>
      <c r="P11" s="520">
        <f t="shared" si="3"/>
        <v>3438</v>
      </c>
      <c r="Q11" s="521">
        <f t="shared" si="3"/>
        <v>12350</v>
      </c>
      <c r="R11" s="520">
        <f t="shared" si="3"/>
        <v>3087</v>
      </c>
      <c r="S11" s="520">
        <f t="shared" si="3"/>
        <v>3186</v>
      </c>
      <c r="T11" s="520">
        <f t="shared" si="3"/>
        <v>4929</v>
      </c>
      <c r="U11" s="520">
        <f t="shared" si="3"/>
        <v>5283</v>
      </c>
      <c r="V11" s="521">
        <f t="shared" si="3"/>
        <v>16485</v>
      </c>
      <c r="W11" s="520">
        <f t="shared" si="3"/>
        <v>3868</v>
      </c>
      <c r="X11" s="520">
        <f t="shared" si="3"/>
        <v>3956</v>
      </c>
      <c r="Y11" s="520">
        <f t="shared" si="3"/>
        <v>4718</v>
      </c>
      <c r="Z11" s="520">
        <f t="shared" si="3"/>
        <v>4695</v>
      </c>
      <c r="AA11" s="521">
        <f t="shared" si="3"/>
        <v>17237</v>
      </c>
      <c r="AB11" s="520">
        <f t="shared" si="3"/>
        <v>3833</v>
      </c>
      <c r="AC11" s="520">
        <f t="shared" si="3"/>
        <v>4148</v>
      </c>
      <c r="AD11" s="520">
        <f t="shared" si="3"/>
        <v>4425</v>
      </c>
      <c r="AE11" s="520">
        <f t="shared" si="3"/>
        <v>4350</v>
      </c>
      <c r="AF11" s="521">
        <f t="shared" si="3"/>
        <v>16756</v>
      </c>
    </row>
    <row r="12" spans="2:32" s="516" customFormat="1">
      <c r="B12" s="948" t="str">
        <f>names!$A813</f>
        <v xml:space="preserve">  - olej napędowy</v>
      </c>
      <c r="C12" s="514">
        <v>2858</v>
      </c>
      <c r="D12" s="514">
        <v>2960</v>
      </c>
      <c r="E12" s="514">
        <v>3155</v>
      </c>
      <c r="F12" s="514">
        <v>3080</v>
      </c>
      <c r="G12" s="515">
        <v>12053</v>
      </c>
      <c r="H12" s="514">
        <v>2503</v>
      </c>
      <c r="I12" s="514">
        <v>2512</v>
      </c>
      <c r="J12" s="514">
        <v>2982</v>
      </c>
      <c r="K12" s="514">
        <v>2851</v>
      </c>
      <c r="L12" s="515">
        <v>10848</v>
      </c>
      <c r="M12" s="514">
        <v>2296</v>
      </c>
      <c r="N12" s="514">
        <v>2802</v>
      </c>
      <c r="O12" s="514">
        <v>3104</v>
      </c>
      <c r="P12" s="514">
        <v>3083</v>
      </c>
      <c r="Q12" s="515">
        <v>11285</v>
      </c>
      <c r="R12" s="514">
        <v>2769</v>
      </c>
      <c r="S12" s="514">
        <v>2855</v>
      </c>
      <c r="T12" s="514">
        <v>4401</v>
      </c>
      <c r="U12" s="582">
        <v>4723</v>
      </c>
      <c r="V12" s="583">
        <v>14748</v>
      </c>
      <c r="W12" s="582">
        <v>3473</v>
      </c>
      <c r="X12" s="514">
        <v>3502</v>
      </c>
      <c r="Y12" s="514">
        <v>4179</v>
      </c>
      <c r="Z12" s="582">
        <v>4217</v>
      </c>
      <c r="AA12" s="583">
        <v>15371</v>
      </c>
      <c r="AB12" s="582">
        <v>3420</v>
      </c>
      <c r="AC12" s="514">
        <v>3659</v>
      </c>
      <c r="AD12" s="514">
        <v>3834</v>
      </c>
      <c r="AE12" s="582">
        <v>3854</v>
      </c>
      <c r="AF12" s="583">
        <v>14767</v>
      </c>
    </row>
    <row r="13" spans="2:32" s="516" customFormat="1">
      <c r="B13" s="948" t="str">
        <f>names!$A814</f>
        <v xml:space="preserve">  - lekki olej opałowy</v>
      </c>
      <c r="C13" s="514">
        <v>122</v>
      </c>
      <c r="D13" s="514">
        <v>54</v>
      </c>
      <c r="E13" s="514">
        <v>76</v>
      </c>
      <c r="F13" s="514">
        <v>110</v>
      </c>
      <c r="G13" s="515">
        <v>362</v>
      </c>
      <c r="H13" s="514">
        <v>117</v>
      </c>
      <c r="I13" s="514">
        <v>67</v>
      </c>
      <c r="J13" s="514">
        <v>53</v>
      </c>
      <c r="K13" s="514">
        <v>102</v>
      </c>
      <c r="L13" s="515">
        <v>339</v>
      </c>
      <c r="M13" s="514">
        <v>114</v>
      </c>
      <c r="N13" s="514">
        <v>55</v>
      </c>
      <c r="O13" s="514">
        <v>64</v>
      </c>
      <c r="P13" s="514">
        <v>116</v>
      </c>
      <c r="Q13" s="515">
        <v>349</v>
      </c>
      <c r="R13" s="514">
        <v>108</v>
      </c>
      <c r="S13" s="514">
        <v>54</v>
      </c>
      <c r="T13" s="514">
        <v>124</v>
      </c>
      <c r="U13" s="582">
        <v>226</v>
      </c>
      <c r="V13" s="583">
        <v>512</v>
      </c>
      <c r="W13" s="582">
        <v>109</v>
      </c>
      <c r="X13" s="514">
        <v>54</v>
      </c>
      <c r="Y13" s="514">
        <v>57</v>
      </c>
      <c r="Z13" s="582">
        <v>96</v>
      </c>
      <c r="AA13" s="583">
        <v>316</v>
      </c>
      <c r="AB13" s="582">
        <v>67</v>
      </c>
      <c r="AC13" s="514">
        <v>37</v>
      </c>
      <c r="AD13" s="514">
        <v>42</v>
      </c>
      <c r="AE13" s="582">
        <v>68</v>
      </c>
      <c r="AF13" s="583">
        <v>214</v>
      </c>
    </row>
    <row r="14" spans="2:32" s="516" customFormat="1">
      <c r="B14" s="950" t="str">
        <f>names!$A815</f>
        <v xml:space="preserve">  - paliwo lotnicze</v>
      </c>
      <c r="C14" s="517">
        <v>299</v>
      </c>
      <c r="D14" s="517">
        <v>428</v>
      </c>
      <c r="E14" s="517">
        <v>472</v>
      </c>
      <c r="F14" s="517">
        <v>360</v>
      </c>
      <c r="G14" s="518">
        <v>1559</v>
      </c>
      <c r="H14" s="517">
        <v>253</v>
      </c>
      <c r="I14" s="517">
        <v>62</v>
      </c>
      <c r="J14" s="517">
        <v>183</v>
      </c>
      <c r="K14" s="517">
        <v>114</v>
      </c>
      <c r="L14" s="518">
        <v>612</v>
      </c>
      <c r="M14" s="517">
        <v>83</v>
      </c>
      <c r="N14" s="517">
        <v>136</v>
      </c>
      <c r="O14" s="517">
        <v>258</v>
      </c>
      <c r="P14" s="517">
        <v>239</v>
      </c>
      <c r="Q14" s="518">
        <v>716</v>
      </c>
      <c r="R14" s="517">
        <v>210</v>
      </c>
      <c r="S14" s="517">
        <v>277</v>
      </c>
      <c r="T14" s="517">
        <v>404</v>
      </c>
      <c r="U14" s="584">
        <v>334</v>
      </c>
      <c r="V14" s="585">
        <v>1225</v>
      </c>
      <c r="W14" s="584">
        <v>286</v>
      </c>
      <c r="X14" s="517">
        <v>400</v>
      </c>
      <c r="Y14" s="517">
        <v>482</v>
      </c>
      <c r="Z14" s="584">
        <v>382</v>
      </c>
      <c r="AA14" s="585">
        <v>1550</v>
      </c>
      <c r="AB14" s="584">
        <v>346</v>
      </c>
      <c r="AC14" s="517">
        <v>452</v>
      </c>
      <c r="AD14" s="517">
        <v>549</v>
      </c>
      <c r="AE14" s="584">
        <v>428</v>
      </c>
      <c r="AF14" s="585">
        <v>1775</v>
      </c>
    </row>
    <row r="15" spans="2:32" s="526" customFormat="1">
      <c r="B15" s="949" t="str">
        <f>names!$A816</f>
        <v>Frakcje ciężkie, w tym:</v>
      </c>
      <c r="C15" s="524">
        <f t="shared" ref="C15:G15" si="4">SUM(C16:C18)</f>
        <v>1079</v>
      </c>
      <c r="D15" s="524">
        <f t="shared" si="4"/>
        <v>1151</v>
      </c>
      <c r="E15" s="524">
        <f t="shared" si="4"/>
        <v>1291</v>
      </c>
      <c r="F15" s="524">
        <f t="shared" si="4"/>
        <v>1263</v>
      </c>
      <c r="G15" s="525">
        <f t="shared" si="4"/>
        <v>4784</v>
      </c>
      <c r="H15" s="524">
        <f>SUM(H16:H18)</f>
        <v>874</v>
      </c>
      <c r="I15" s="524">
        <f t="shared" ref="I15:AF15" si="5">SUM(I16:I18)</f>
        <v>768</v>
      </c>
      <c r="J15" s="524">
        <f t="shared" si="5"/>
        <v>1143</v>
      </c>
      <c r="K15" s="524">
        <f t="shared" si="5"/>
        <v>986</v>
      </c>
      <c r="L15" s="525">
        <f t="shared" si="5"/>
        <v>3771</v>
      </c>
      <c r="M15" s="524">
        <f t="shared" si="5"/>
        <v>630</v>
      </c>
      <c r="N15" s="524">
        <f t="shared" si="5"/>
        <v>764</v>
      </c>
      <c r="O15" s="524">
        <f t="shared" si="5"/>
        <v>1098</v>
      </c>
      <c r="P15" s="524">
        <f t="shared" si="5"/>
        <v>1097</v>
      </c>
      <c r="Q15" s="525">
        <f t="shared" si="5"/>
        <v>3589</v>
      </c>
      <c r="R15" s="524">
        <f t="shared" si="5"/>
        <v>821</v>
      </c>
      <c r="S15" s="524">
        <f t="shared" si="5"/>
        <v>922</v>
      </c>
      <c r="T15" s="524">
        <f t="shared" si="5"/>
        <v>1266</v>
      </c>
      <c r="U15" s="520">
        <f t="shared" si="5"/>
        <v>1313</v>
      </c>
      <c r="V15" s="521">
        <f t="shared" si="5"/>
        <v>4322</v>
      </c>
      <c r="W15" s="520">
        <f t="shared" si="5"/>
        <v>1096</v>
      </c>
      <c r="X15" s="524">
        <f t="shared" si="5"/>
        <v>1362</v>
      </c>
      <c r="Y15" s="524">
        <f t="shared" si="5"/>
        <v>1289</v>
      </c>
      <c r="Z15" s="520">
        <f t="shared" si="5"/>
        <v>1237</v>
      </c>
      <c r="AA15" s="521">
        <f t="shared" si="5"/>
        <v>4984</v>
      </c>
      <c r="AB15" s="520">
        <f t="shared" si="5"/>
        <v>1183</v>
      </c>
      <c r="AC15" s="520">
        <f t="shared" si="5"/>
        <v>1297</v>
      </c>
      <c r="AD15" s="520">
        <f t="shared" si="5"/>
        <v>1386</v>
      </c>
      <c r="AE15" s="520">
        <f t="shared" si="5"/>
        <v>1198</v>
      </c>
      <c r="AF15" s="521">
        <f t="shared" si="5"/>
        <v>5064</v>
      </c>
    </row>
    <row r="16" spans="2:32" s="516" customFormat="1">
      <c r="B16" s="948" t="str">
        <f>names!$A817</f>
        <v xml:space="preserve">  - ciężki olej opałowy</v>
      </c>
      <c r="C16" s="514">
        <v>872</v>
      </c>
      <c r="D16" s="514">
        <v>713</v>
      </c>
      <c r="E16" s="514">
        <v>705</v>
      </c>
      <c r="F16" s="514">
        <v>764</v>
      </c>
      <c r="G16" s="515">
        <v>3054</v>
      </c>
      <c r="H16" s="514">
        <v>641</v>
      </c>
      <c r="I16" s="514">
        <v>420</v>
      </c>
      <c r="J16" s="514">
        <v>540</v>
      </c>
      <c r="K16" s="514">
        <v>557</v>
      </c>
      <c r="L16" s="515">
        <v>2158</v>
      </c>
      <c r="M16" s="514">
        <v>461</v>
      </c>
      <c r="N16" s="514">
        <v>399</v>
      </c>
      <c r="O16" s="514">
        <v>574</v>
      </c>
      <c r="P16" s="514">
        <v>703</v>
      </c>
      <c r="Q16" s="515">
        <v>2137</v>
      </c>
      <c r="R16" s="514">
        <v>622</v>
      </c>
      <c r="S16" s="514">
        <v>517</v>
      </c>
      <c r="T16" s="514">
        <v>566</v>
      </c>
      <c r="U16" s="582">
        <v>684</v>
      </c>
      <c r="V16" s="583">
        <v>2389</v>
      </c>
      <c r="W16" s="582">
        <v>744</v>
      </c>
      <c r="X16" s="514">
        <v>568</v>
      </c>
      <c r="Y16" s="514">
        <v>506</v>
      </c>
      <c r="Z16" s="582">
        <v>623</v>
      </c>
      <c r="AA16" s="583">
        <v>2441</v>
      </c>
      <c r="AB16" s="582">
        <v>878</v>
      </c>
      <c r="AC16" s="514">
        <v>636</v>
      </c>
      <c r="AD16" s="514">
        <v>645</v>
      </c>
      <c r="AE16" s="582">
        <v>691</v>
      </c>
      <c r="AF16" s="583">
        <v>2850</v>
      </c>
    </row>
    <row r="17" spans="2:32" s="516" customFormat="1">
      <c r="B17" s="948" t="str">
        <f>names!$A818</f>
        <v xml:space="preserve">  - asfalt</v>
      </c>
      <c r="C17" s="514">
        <v>165</v>
      </c>
      <c r="D17" s="514">
        <v>404</v>
      </c>
      <c r="E17" s="514">
        <v>534</v>
      </c>
      <c r="F17" s="514">
        <v>449</v>
      </c>
      <c r="G17" s="515">
        <v>1552</v>
      </c>
      <c r="H17" s="514">
        <v>200</v>
      </c>
      <c r="I17" s="514">
        <v>324</v>
      </c>
      <c r="J17" s="514">
        <v>559</v>
      </c>
      <c r="K17" s="514">
        <v>390</v>
      </c>
      <c r="L17" s="515">
        <v>1473</v>
      </c>
      <c r="M17" s="514">
        <v>134</v>
      </c>
      <c r="N17" s="514">
        <v>338</v>
      </c>
      <c r="O17" s="514">
        <f>489+1</f>
        <v>490</v>
      </c>
      <c r="P17" s="514">
        <v>364</v>
      </c>
      <c r="Q17" s="515">
        <v>1326</v>
      </c>
      <c r="R17" s="514">
        <v>158</v>
      </c>
      <c r="S17" s="514">
        <v>373</v>
      </c>
      <c r="T17" s="514">
        <v>643</v>
      </c>
      <c r="U17" s="582">
        <v>570</v>
      </c>
      <c r="V17" s="583">
        <v>1744</v>
      </c>
      <c r="W17" s="582">
        <v>285</v>
      </c>
      <c r="X17" s="514">
        <v>724</v>
      </c>
      <c r="Y17" s="514">
        <v>754</v>
      </c>
      <c r="Z17" s="582">
        <v>550</v>
      </c>
      <c r="AA17" s="583">
        <v>2313</v>
      </c>
      <c r="AB17" s="582">
        <v>257</v>
      </c>
      <c r="AC17" s="514">
        <v>626</v>
      </c>
      <c r="AD17" s="514">
        <v>707</v>
      </c>
      <c r="AE17" s="582">
        <v>466</v>
      </c>
      <c r="AF17" s="583">
        <v>2056</v>
      </c>
    </row>
    <row r="18" spans="2:32" s="516" customFormat="1">
      <c r="B18" s="950" t="str">
        <f>names!$A819</f>
        <v xml:space="preserve">  - oleje</v>
      </c>
      <c r="C18" s="517">
        <v>42</v>
      </c>
      <c r="D18" s="517">
        <v>34</v>
      </c>
      <c r="E18" s="517">
        <v>52</v>
      </c>
      <c r="F18" s="517">
        <v>50</v>
      </c>
      <c r="G18" s="518">
        <v>178</v>
      </c>
      <c r="H18" s="517">
        <v>33</v>
      </c>
      <c r="I18" s="517">
        <v>24</v>
      </c>
      <c r="J18" s="517">
        <v>44</v>
      </c>
      <c r="K18" s="517">
        <v>39</v>
      </c>
      <c r="L18" s="518">
        <v>140</v>
      </c>
      <c r="M18" s="517">
        <v>35</v>
      </c>
      <c r="N18" s="517">
        <v>27</v>
      </c>
      <c r="O18" s="517">
        <v>34</v>
      </c>
      <c r="P18" s="517">
        <v>30</v>
      </c>
      <c r="Q18" s="518">
        <v>126</v>
      </c>
      <c r="R18" s="517">
        <v>41</v>
      </c>
      <c r="S18" s="517">
        <v>32</v>
      </c>
      <c r="T18" s="517">
        <v>57</v>
      </c>
      <c r="U18" s="584">
        <v>59</v>
      </c>
      <c r="V18" s="585">
        <v>189</v>
      </c>
      <c r="W18" s="584">
        <v>67</v>
      </c>
      <c r="X18" s="517">
        <v>70</v>
      </c>
      <c r="Y18" s="517">
        <v>29</v>
      </c>
      <c r="Z18" s="584">
        <v>64</v>
      </c>
      <c r="AA18" s="585">
        <v>230</v>
      </c>
      <c r="AB18" s="584">
        <v>48</v>
      </c>
      <c r="AC18" s="517">
        <v>35</v>
      </c>
      <c r="AD18" s="517">
        <v>34</v>
      </c>
      <c r="AE18" s="584">
        <v>41</v>
      </c>
      <c r="AF18" s="585">
        <v>158</v>
      </c>
    </row>
    <row r="19" spans="2:32" s="526" customFormat="1">
      <c r="B19" s="951" t="str">
        <f>names!$A820</f>
        <v>Pozostałe</v>
      </c>
      <c r="C19" s="139">
        <f t="shared" ref="C19:AF19" si="6">C7-C8-C11-C15</f>
        <v>874</v>
      </c>
      <c r="D19" s="139">
        <f t="shared" si="6"/>
        <v>869</v>
      </c>
      <c r="E19" s="139">
        <f t="shared" si="6"/>
        <v>956</v>
      </c>
      <c r="F19" s="139">
        <f t="shared" si="6"/>
        <v>865</v>
      </c>
      <c r="G19" s="187">
        <f t="shared" si="6"/>
        <v>3564</v>
      </c>
      <c r="H19" s="139">
        <f t="shared" si="6"/>
        <v>883</v>
      </c>
      <c r="I19" s="139">
        <f t="shared" si="6"/>
        <v>721</v>
      </c>
      <c r="J19" s="139">
        <f t="shared" si="6"/>
        <v>834</v>
      </c>
      <c r="K19" s="139">
        <f t="shared" si="6"/>
        <v>1022</v>
      </c>
      <c r="L19" s="187">
        <f t="shared" si="6"/>
        <v>3460</v>
      </c>
      <c r="M19" s="139">
        <f t="shared" si="6"/>
        <v>1076</v>
      </c>
      <c r="N19" s="139">
        <f t="shared" si="6"/>
        <v>815</v>
      </c>
      <c r="O19" s="139">
        <f t="shared" si="6"/>
        <v>862</v>
      </c>
      <c r="P19" s="139">
        <f t="shared" si="6"/>
        <v>941</v>
      </c>
      <c r="Q19" s="187">
        <f t="shared" si="6"/>
        <v>3694</v>
      </c>
      <c r="R19" s="139">
        <f t="shared" si="6"/>
        <v>872</v>
      </c>
      <c r="S19" s="139">
        <f t="shared" si="6"/>
        <v>882</v>
      </c>
      <c r="T19" s="139">
        <f t="shared" si="6"/>
        <v>1283</v>
      </c>
      <c r="U19" s="460">
        <f t="shared" si="6"/>
        <v>1350</v>
      </c>
      <c r="V19" s="464">
        <f t="shared" si="6"/>
        <v>4387</v>
      </c>
      <c r="W19" s="460">
        <f t="shared" si="6"/>
        <v>1087</v>
      </c>
      <c r="X19" s="139">
        <f t="shared" si="6"/>
        <v>1192</v>
      </c>
      <c r="Y19" s="139">
        <f t="shared" si="6"/>
        <v>1177</v>
      </c>
      <c r="Z19" s="460">
        <f t="shared" si="6"/>
        <v>1292</v>
      </c>
      <c r="AA19" s="464">
        <f t="shared" si="6"/>
        <v>4748</v>
      </c>
      <c r="AB19" s="460">
        <f t="shared" si="6"/>
        <v>878</v>
      </c>
      <c r="AC19" s="460">
        <f t="shared" si="6"/>
        <v>965</v>
      </c>
      <c r="AD19" s="460">
        <f t="shared" si="6"/>
        <v>1001</v>
      </c>
      <c r="AE19" s="460">
        <f t="shared" si="6"/>
        <v>1009</v>
      </c>
      <c r="AF19" s="464">
        <f t="shared" si="6"/>
        <v>3853</v>
      </c>
    </row>
    <row r="20" spans="2:32" s="526" customFormat="1" ht="7.5" customHeight="1" thickBot="1">
      <c r="B20" s="952"/>
      <c r="C20" s="138"/>
      <c r="D20" s="138"/>
      <c r="E20" s="138"/>
      <c r="F20" s="138"/>
      <c r="G20" s="186"/>
      <c r="H20" s="138"/>
      <c r="I20" s="138"/>
      <c r="J20" s="138"/>
      <c r="K20" s="138"/>
      <c r="L20" s="186"/>
      <c r="M20" s="138"/>
      <c r="N20" s="138"/>
      <c r="O20" s="138"/>
      <c r="P20" s="138"/>
      <c r="Q20" s="186"/>
      <c r="R20" s="138"/>
      <c r="S20" s="138"/>
      <c r="T20" s="138"/>
      <c r="U20" s="459"/>
      <c r="V20" s="463"/>
      <c r="W20" s="459"/>
      <c r="X20" s="138"/>
      <c r="Y20" s="138"/>
      <c r="Z20" s="459"/>
      <c r="AA20" s="463"/>
      <c r="AB20" s="459"/>
      <c r="AC20" s="138"/>
      <c r="AD20" s="138"/>
      <c r="AE20" s="459"/>
      <c r="AF20" s="463"/>
    </row>
    <row r="21" spans="2:32" s="526" customFormat="1" ht="13.5" thickBot="1">
      <c r="B21" s="953" t="str">
        <f>names!$A822</f>
        <v>Segment Petrochemia</v>
      </c>
      <c r="C21" s="148">
        <v>1363</v>
      </c>
      <c r="D21" s="148">
        <v>1298</v>
      </c>
      <c r="E21" s="148">
        <v>1342</v>
      </c>
      <c r="F21" s="148">
        <v>1184</v>
      </c>
      <c r="G21" s="202">
        <v>5187</v>
      </c>
      <c r="H21" s="148">
        <v>1303</v>
      </c>
      <c r="I21" s="148">
        <v>1081</v>
      </c>
      <c r="J21" s="148">
        <v>1337</v>
      </c>
      <c r="K21" s="148">
        <v>1385</v>
      </c>
      <c r="L21" s="202">
        <v>5106</v>
      </c>
      <c r="M21" s="148">
        <v>1271</v>
      </c>
      <c r="N21" s="148">
        <v>1039</v>
      </c>
      <c r="O21" s="148">
        <v>1309</v>
      </c>
      <c r="P21" s="148">
        <v>1287</v>
      </c>
      <c r="Q21" s="202">
        <v>4906</v>
      </c>
      <c r="R21" s="148">
        <v>1397</v>
      </c>
      <c r="S21" s="148">
        <v>1362</v>
      </c>
      <c r="T21" s="148">
        <v>1121</v>
      </c>
      <c r="U21" s="134">
        <v>1133</v>
      </c>
      <c r="V21" s="185">
        <v>5013</v>
      </c>
      <c r="W21" s="134">
        <v>1119</v>
      </c>
      <c r="X21" s="148">
        <v>1141</v>
      </c>
      <c r="Y21" s="148">
        <v>1142</v>
      </c>
      <c r="Z21" s="134">
        <v>977</v>
      </c>
      <c r="AA21" s="185">
        <v>4379</v>
      </c>
      <c r="AB21" s="134">
        <v>1218</v>
      </c>
      <c r="AC21" s="148">
        <v>1227</v>
      </c>
      <c r="AD21" s="148">
        <v>1178</v>
      </c>
      <c r="AE21" s="134">
        <v>1165</v>
      </c>
      <c r="AF21" s="185">
        <v>4788</v>
      </c>
    </row>
    <row r="22" spans="2:32" s="526" customFormat="1">
      <c r="B22" s="947" t="str">
        <f>names!$A823</f>
        <v>Monomery, w tym:</v>
      </c>
      <c r="C22" s="138">
        <f t="shared" ref="C22:G22" si="7">SUM(C23:C24)</f>
        <v>259</v>
      </c>
      <c r="D22" s="138">
        <f t="shared" si="7"/>
        <v>270</v>
      </c>
      <c r="E22" s="138">
        <f t="shared" si="7"/>
        <v>258</v>
      </c>
      <c r="F22" s="138">
        <f t="shared" si="7"/>
        <v>235</v>
      </c>
      <c r="G22" s="186">
        <f t="shared" si="7"/>
        <v>1022</v>
      </c>
      <c r="H22" s="138">
        <f>SUM(H23:H24)</f>
        <v>244</v>
      </c>
      <c r="I22" s="138">
        <f t="shared" ref="I22:AF22" si="8">SUM(I23:I24)</f>
        <v>214</v>
      </c>
      <c r="J22" s="138">
        <f t="shared" si="8"/>
        <v>266</v>
      </c>
      <c r="K22" s="138">
        <f t="shared" si="8"/>
        <v>235</v>
      </c>
      <c r="L22" s="186">
        <f t="shared" si="8"/>
        <v>959</v>
      </c>
      <c r="M22" s="138">
        <f t="shared" si="8"/>
        <v>215</v>
      </c>
      <c r="N22" s="138">
        <f t="shared" si="8"/>
        <v>67</v>
      </c>
      <c r="O22" s="138">
        <f t="shared" si="8"/>
        <v>243</v>
      </c>
      <c r="P22" s="138">
        <f t="shared" si="8"/>
        <v>269</v>
      </c>
      <c r="Q22" s="186">
        <f t="shared" si="8"/>
        <v>794</v>
      </c>
      <c r="R22" s="138">
        <f t="shared" si="8"/>
        <v>250</v>
      </c>
      <c r="S22" s="138">
        <f t="shared" si="8"/>
        <v>237</v>
      </c>
      <c r="T22" s="138">
        <f t="shared" si="8"/>
        <v>202</v>
      </c>
      <c r="U22" s="459">
        <f t="shared" si="8"/>
        <v>206</v>
      </c>
      <c r="V22" s="463">
        <f t="shared" si="8"/>
        <v>895</v>
      </c>
      <c r="W22" s="459">
        <f t="shared" si="8"/>
        <v>185</v>
      </c>
      <c r="X22" s="138">
        <f t="shared" si="8"/>
        <v>183</v>
      </c>
      <c r="Y22" s="138">
        <f t="shared" si="8"/>
        <v>186</v>
      </c>
      <c r="Z22" s="459">
        <f t="shared" si="8"/>
        <v>122</v>
      </c>
      <c r="AA22" s="463">
        <f t="shared" si="8"/>
        <v>676</v>
      </c>
      <c r="AB22" s="459">
        <f t="shared" si="8"/>
        <v>202</v>
      </c>
      <c r="AC22" s="459">
        <f t="shared" si="8"/>
        <v>215</v>
      </c>
      <c r="AD22" s="459">
        <f t="shared" si="8"/>
        <v>187</v>
      </c>
      <c r="AE22" s="459">
        <f t="shared" si="8"/>
        <v>167</v>
      </c>
      <c r="AF22" s="463">
        <f t="shared" si="8"/>
        <v>771</v>
      </c>
    </row>
    <row r="23" spans="2:32" s="516" customFormat="1">
      <c r="B23" s="948" t="str">
        <f>names!$A824</f>
        <v xml:space="preserve">  - etylen</v>
      </c>
      <c r="C23" s="514">
        <v>147</v>
      </c>
      <c r="D23" s="514">
        <v>137</v>
      </c>
      <c r="E23" s="514">
        <v>125</v>
      </c>
      <c r="F23" s="514">
        <v>109</v>
      </c>
      <c r="G23" s="515">
        <v>518</v>
      </c>
      <c r="H23" s="514">
        <v>111</v>
      </c>
      <c r="I23" s="514">
        <v>102</v>
      </c>
      <c r="J23" s="514">
        <v>120</v>
      </c>
      <c r="K23" s="514">
        <v>103</v>
      </c>
      <c r="L23" s="515">
        <v>436</v>
      </c>
      <c r="M23" s="514">
        <v>94</v>
      </c>
      <c r="N23" s="514">
        <v>24</v>
      </c>
      <c r="O23" s="514">
        <v>104</v>
      </c>
      <c r="P23" s="514">
        <v>121</v>
      </c>
      <c r="Q23" s="515">
        <v>343</v>
      </c>
      <c r="R23" s="514">
        <v>112</v>
      </c>
      <c r="S23" s="514">
        <v>107</v>
      </c>
      <c r="T23" s="514">
        <v>96</v>
      </c>
      <c r="U23" s="582">
        <v>98</v>
      </c>
      <c r="V23" s="583">
        <v>413</v>
      </c>
      <c r="W23" s="582">
        <v>85</v>
      </c>
      <c r="X23" s="514">
        <v>78</v>
      </c>
      <c r="Y23" s="514">
        <v>83</v>
      </c>
      <c r="Z23" s="582">
        <v>53</v>
      </c>
      <c r="AA23" s="583">
        <v>299</v>
      </c>
      <c r="AB23" s="582">
        <v>83</v>
      </c>
      <c r="AC23" s="514">
        <v>79</v>
      </c>
      <c r="AD23" s="514">
        <v>68</v>
      </c>
      <c r="AE23" s="582">
        <f>77+1</f>
        <v>78</v>
      </c>
      <c r="AF23" s="583">
        <v>308</v>
      </c>
    </row>
    <row r="24" spans="2:32" s="516" customFormat="1">
      <c r="B24" s="948" t="str">
        <f>names!$A825</f>
        <v xml:space="preserve">  - propylen</v>
      </c>
      <c r="C24" s="514">
        <v>112</v>
      </c>
      <c r="D24" s="514">
        <v>133</v>
      </c>
      <c r="E24" s="514">
        <v>133</v>
      </c>
      <c r="F24" s="514">
        <v>126</v>
      </c>
      <c r="G24" s="515">
        <v>504</v>
      </c>
      <c r="H24" s="514">
        <v>133</v>
      </c>
      <c r="I24" s="514">
        <v>112</v>
      </c>
      <c r="J24" s="514">
        <v>146</v>
      </c>
      <c r="K24" s="514">
        <v>132</v>
      </c>
      <c r="L24" s="515">
        <v>523</v>
      </c>
      <c r="M24" s="514">
        <v>121</v>
      </c>
      <c r="N24" s="514">
        <v>43</v>
      </c>
      <c r="O24" s="514">
        <v>139</v>
      </c>
      <c r="P24" s="514">
        <v>148</v>
      </c>
      <c r="Q24" s="515">
        <v>451</v>
      </c>
      <c r="R24" s="514">
        <v>138</v>
      </c>
      <c r="S24" s="514">
        <v>130</v>
      </c>
      <c r="T24" s="514">
        <v>106</v>
      </c>
      <c r="U24" s="582">
        <v>108</v>
      </c>
      <c r="V24" s="583">
        <v>482</v>
      </c>
      <c r="W24" s="582">
        <v>100</v>
      </c>
      <c r="X24" s="514">
        <v>105</v>
      </c>
      <c r="Y24" s="514">
        <v>103</v>
      </c>
      <c r="Z24" s="582">
        <v>69</v>
      </c>
      <c r="AA24" s="583">
        <v>377</v>
      </c>
      <c r="AB24" s="582">
        <v>119</v>
      </c>
      <c r="AC24" s="514">
        <v>136</v>
      </c>
      <c r="AD24" s="514">
        <v>119</v>
      </c>
      <c r="AE24" s="582">
        <v>89</v>
      </c>
      <c r="AF24" s="583">
        <v>463</v>
      </c>
    </row>
    <row r="25" spans="2:32" s="526" customFormat="1">
      <c r="B25" s="949" t="str">
        <f>names!$A826</f>
        <v>Polimery, w tym:</v>
      </c>
      <c r="C25" s="524">
        <f t="shared" ref="C25:G25" si="9">SUM(C26:C27)</f>
        <v>139</v>
      </c>
      <c r="D25" s="524">
        <f t="shared" si="9"/>
        <v>136</v>
      </c>
      <c r="E25" s="524">
        <f t="shared" si="9"/>
        <v>133</v>
      </c>
      <c r="F25" s="524">
        <f t="shared" si="9"/>
        <v>111</v>
      </c>
      <c r="G25" s="525">
        <f t="shared" si="9"/>
        <v>519</v>
      </c>
      <c r="H25" s="524">
        <f>SUM(H26:H27)</f>
        <v>100</v>
      </c>
      <c r="I25" s="524">
        <f t="shared" ref="I25:AF25" si="10">SUM(I26:I27)</f>
        <v>109</v>
      </c>
      <c r="J25" s="524">
        <f t="shared" si="10"/>
        <v>126</v>
      </c>
      <c r="K25" s="524">
        <f t="shared" si="10"/>
        <v>163</v>
      </c>
      <c r="L25" s="525">
        <f t="shared" si="10"/>
        <v>498</v>
      </c>
      <c r="M25" s="524">
        <f t="shared" si="10"/>
        <v>149</v>
      </c>
      <c r="N25" s="524">
        <f t="shared" si="10"/>
        <v>134</v>
      </c>
      <c r="O25" s="524">
        <f t="shared" si="10"/>
        <v>155</v>
      </c>
      <c r="P25" s="524">
        <f t="shared" si="10"/>
        <v>165</v>
      </c>
      <c r="Q25" s="525">
        <f t="shared" si="10"/>
        <v>603</v>
      </c>
      <c r="R25" s="524">
        <f t="shared" si="10"/>
        <v>173</v>
      </c>
      <c r="S25" s="524">
        <f t="shared" si="10"/>
        <v>169</v>
      </c>
      <c r="T25" s="524">
        <f t="shared" si="10"/>
        <v>158</v>
      </c>
      <c r="U25" s="520">
        <f t="shared" si="10"/>
        <v>161</v>
      </c>
      <c r="V25" s="521">
        <f t="shared" si="10"/>
        <v>661</v>
      </c>
      <c r="W25" s="520">
        <f t="shared" si="10"/>
        <v>178</v>
      </c>
      <c r="X25" s="524">
        <f t="shared" si="10"/>
        <v>153</v>
      </c>
      <c r="Y25" s="524">
        <f t="shared" si="10"/>
        <v>179</v>
      </c>
      <c r="Z25" s="520">
        <f t="shared" si="10"/>
        <v>163</v>
      </c>
      <c r="AA25" s="521">
        <f t="shared" si="10"/>
        <v>673</v>
      </c>
      <c r="AB25" s="520">
        <f t="shared" si="10"/>
        <v>172</v>
      </c>
      <c r="AC25" s="520">
        <f t="shared" si="10"/>
        <v>184</v>
      </c>
      <c r="AD25" s="520">
        <f t="shared" si="10"/>
        <v>166</v>
      </c>
      <c r="AE25" s="520">
        <f t="shared" si="10"/>
        <v>177</v>
      </c>
      <c r="AF25" s="521">
        <f t="shared" si="10"/>
        <v>699</v>
      </c>
    </row>
    <row r="26" spans="2:32" s="516" customFormat="1">
      <c r="B26" s="948" t="str">
        <f>names!$A827</f>
        <v xml:space="preserve">  - polietylen</v>
      </c>
      <c r="C26" s="514">
        <v>69</v>
      </c>
      <c r="D26" s="514">
        <v>67</v>
      </c>
      <c r="E26" s="514">
        <v>62</v>
      </c>
      <c r="F26" s="514">
        <v>49</v>
      </c>
      <c r="G26" s="515">
        <v>247</v>
      </c>
      <c r="H26" s="514">
        <v>45</v>
      </c>
      <c r="I26" s="514">
        <v>63</v>
      </c>
      <c r="J26" s="514">
        <v>59</v>
      </c>
      <c r="K26" s="514">
        <v>90</v>
      </c>
      <c r="L26" s="515">
        <v>257</v>
      </c>
      <c r="M26" s="514">
        <v>77</v>
      </c>
      <c r="N26" s="514">
        <v>70</v>
      </c>
      <c r="O26" s="514">
        <v>90</v>
      </c>
      <c r="P26" s="514">
        <v>91</v>
      </c>
      <c r="Q26" s="515">
        <v>328</v>
      </c>
      <c r="R26" s="514">
        <v>102</v>
      </c>
      <c r="S26" s="514">
        <v>95</v>
      </c>
      <c r="T26" s="514">
        <v>91</v>
      </c>
      <c r="U26" s="582">
        <v>93</v>
      </c>
      <c r="V26" s="583">
        <v>381</v>
      </c>
      <c r="W26" s="582">
        <v>102</v>
      </c>
      <c r="X26" s="514">
        <v>104</v>
      </c>
      <c r="Y26" s="514">
        <v>119</v>
      </c>
      <c r="Z26" s="582">
        <v>92</v>
      </c>
      <c r="AA26" s="583">
        <v>417</v>
      </c>
      <c r="AB26" s="582">
        <v>100</v>
      </c>
      <c r="AC26" s="514">
        <v>113</v>
      </c>
      <c r="AD26" s="514">
        <v>100</v>
      </c>
      <c r="AE26" s="582">
        <v>110</v>
      </c>
      <c r="AF26" s="583">
        <v>423</v>
      </c>
    </row>
    <row r="27" spans="2:32" s="516" customFormat="1">
      <c r="B27" s="950" t="str">
        <f>names!$A828</f>
        <v xml:space="preserve">  - polipropylen</v>
      </c>
      <c r="C27" s="517">
        <v>70</v>
      </c>
      <c r="D27" s="517">
        <v>69</v>
      </c>
      <c r="E27" s="517">
        <v>71</v>
      </c>
      <c r="F27" s="517">
        <v>62</v>
      </c>
      <c r="G27" s="518">
        <v>272</v>
      </c>
      <c r="H27" s="517">
        <v>55</v>
      </c>
      <c r="I27" s="517">
        <v>46</v>
      </c>
      <c r="J27" s="517">
        <v>67</v>
      </c>
      <c r="K27" s="517">
        <v>73</v>
      </c>
      <c r="L27" s="518">
        <v>241</v>
      </c>
      <c r="M27" s="517">
        <v>72</v>
      </c>
      <c r="N27" s="517">
        <v>64</v>
      </c>
      <c r="O27" s="517">
        <v>65</v>
      </c>
      <c r="P27" s="517">
        <v>74</v>
      </c>
      <c r="Q27" s="518">
        <v>275</v>
      </c>
      <c r="R27" s="517">
        <v>71</v>
      </c>
      <c r="S27" s="517">
        <v>74</v>
      </c>
      <c r="T27" s="517">
        <v>67</v>
      </c>
      <c r="U27" s="584">
        <v>68</v>
      </c>
      <c r="V27" s="585">
        <v>280</v>
      </c>
      <c r="W27" s="517">
        <v>76</v>
      </c>
      <c r="X27" s="517">
        <v>49</v>
      </c>
      <c r="Y27" s="517">
        <v>60</v>
      </c>
      <c r="Z27" s="584">
        <v>71</v>
      </c>
      <c r="AA27" s="585">
        <v>256</v>
      </c>
      <c r="AB27" s="584">
        <v>72</v>
      </c>
      <c r="AC27" s="517">
        <v>71</v>
      </c>
      <c r="AD27" s="517">
        <v>66</v>
      </c>
      <c r="AE27" s="584">
        <f>66+1</f>
        <v>67</v>
      </c>
      <c r="AF27" s="585">
        <v>276</v>
      </c>
    </row>
    <row r="28" spans="2:32" s="526" customFormat="1">
      <c r="B28" s="949" t="str">
        <f>names!$A829</f>
        <v>Aromaty, w tym:</v>
      </c>
      <c r="C28" s="524">
        <f t="shared" ref="C28:G28" si="11">SUM(C29:C32)</f>
        <v>115</v>
      </c>
      <c r="D28" s="524">
        <f t="shared" si="11"/>
        <v>116</v>
      </c>
      <c r="E28" s="524">
        <f t="shared" si="11"/>
        <v>104</v>
      </c>
      <c r="F28" s="524">
        <f t="shared" si="11"/>
        <v>89</v>
      </c>
      <c r="G28" s="525">
        <f t="shared" si="11"/>
        <v>424</v>
      </c>
      <c r="H28" s="524">
        <f>SUM(H29:H32)</f>
        <v>105</v>
      </c>
      <c r="I28" s="524">
        <f t="shared" ref="I28:AF28" si="12">SUM(I29:I32)</f>
        <v>57</v>
      </c>
      <c r="J28" s="524">
        <f t="shared" si="12"/>
        <v>103</v>
      </c>
      <c r="K28" s="524">
        <f t="shared" si="12"/>
        <v>108</v>
      </c>
      <c r="L28" s="525">
        <f t="shared" si="12"/>
        <v>373</v>
      </c>
      <c r="M28" s="524">
        <f t="shared" si="12"/>
        <v>87</v>
      </c>
      <c r="N28" s="524">
        <f t="shared" si="12"/>
        <v>76</v>
      </c>
      <c r="O28" s="524">
        <f t="shared" si="12"/>
        <v>85</v>
      </c>
      <c r="P28" s="524">
        <f t="shared" si="12"/>
        <v>99</v>
      </c>
      <c r="Q28" s="525">
        <f t="shared" si="12"/>
        <v>347</v>
      </c>
      <c r="R28" s="524">
        <f t="shared" si="12"/>
        <v>112</v>
      </c>
      <c r="S28" s="524">
        <f t="shared" si="12"/>
        <v>102</v>
      </c>
      <c r="T28" s="524">
        <f t="shared" si="12"/>
        <v>84</v>
      </c>
      <c r="U28" s="520">
        <f t="shared" si="12"/>
        <v>96</v>
      </c>
      <c r="V28" s="521">
        <f t="shared" si="12"/>
        <v>394</v>
      </c>
      <c r="W28" s="524">
        <f t="shared" si="12"/>
        <v>94</v>
      </c>
      <c r="X28" s="524">
        <f t="shared" si="12"/>
        <v>72</v>
      </c>
      <c r="Y28" s="524">
        <f t="shared" si="12"/>
        <v>103</v>
      </c>
      <c r="Z28" s="520">
        <f t="shared" si="12"/>
        <v>81</v>
      </c>
      <c r="AA28" s="521">
        <f t="shared" si="12"/>
        <v>350</v>
      </c>
      <c r="AB28" s="520">
        <f t="shared" si="12"/>
        <v>100</v>
      </c>
      <c r="AC28" s="520">
        <f t="shared" si="12"/>
        <v>84</v>
      </c>
      <c r="AD28" s="520">
        <f t="shared" si="12"/>
        <v>87</v>
      </c>
      <c r="AE28" s="520">
        <f t="shared" si="12"/>
        <v>84</v>
      </c>
      <c r="AF28" s="521">
        <f t="shared" si="12"/>
        <v>355</v>
      </c>
    </row>
    <row r="29" spans="2:32" s="516" customFormat="1">
      <c r="B29" s="948" t="str">
        <f>names!$A830</f>
        <v xml:space="preserve">  - benzen</v>
      </c>
      <c r="C29" s="514">
        <v>115</v>
      </c>
      <c r="D29" s="514">
        <v>116</v>
      </c>
      <c r="E29" s="514">
        <v>104</v>
      </c>
      <c r="F29" s="514">
        <v>89</v>
      </c>
      <c r="G29" s="515">
        <v>424</v>
      </c>
      <c r="H29" s="514">
        <v>105</v>
      </c>
      <c r="I29" s="514">
        <f>58-1</f>
        <v>57</v>
      </c>
      <c r="J29" s="514">
        <v>103</v>
      </c>
      <c r="K29" s="514">
        <v>108</v>
      </c>
      <c r="L29" s="515">
        <v>373</v>
      </c>
      <c r="M29" s="514">
        <v>87</v>
      </c>
      <c r="N29" s="514">
        <f>75+1</f>
        <v>76</v>
      </c>
      <c r="O29" s="514">
        <v>85</v>
      </c>
      <c r="P29" s="514">
        <v>99</v>
      </c>
      <c r="Q29" s="515">
        <v>347</v>
      </c>
      <c r="R29" s="514">
        <v>112</v>
      </c>
      <c r="S29" s="514">
        <v>102</v>
      </c>
      <c r="T29" s="514">
        <v>84</v>
      </c>
      <c r="U29" s="582">
        <v>96</v>
      </c>
      <c r="V29" s="583">
        <v>394</v>
      </c>
      <c r="W29" s="514">
        <v>94</v>
      </c>
      <c r="X29" s="514">
        <v>72</v>
      </c>
      <c r="Y29" s="514">
        <v>103</v>
      </c>
      <c r="Z29" s="582">
        <v>81</v>
      </c>
      <c r="AA29" s="583">
        <v>350</v>
      </c>
      <c r="AB29" s="582">
        <v>100</v>
      </c>
      <c r="AC29" s="514">
        <v>84</v>
      </c>
      <c r="AD29" s="514">
        <v>87</v>
      </c>
      <c r="AE29" s="582">
        <f>83+1</f>
        <v>84</v>
      </c>
      <c r="AF29" s="583">
        <v>355</v>
      </c>
    </row>
    <row r="30" spans="2:32" s="516" customFormat="1">
      <c r="B30" s="948" t="str">
        <f>names!$A831</f>
        <v xml:space="preserve">  - toluen</v>
      </c>
      <c r="C30" s="514">
        <v>0</v>
      </c>
      <c r="D30" s="514">
        <v>0</v>
      </c>
      <c r="E30" s="514">
        <v>0</v>
      </c>
      <c r="F30" s="514">
        <v>0</v>
      </c>
      <c r="G30" s="515">
        <v>0</v>
      </c>
      <c r="H30" s="514">
        <v>0</v>
      </c>
      <c r="I30" s="514">
        <v>0</v>
      </c>
      <c r="J30" s="514">
        <v>0</v>
      </c>
      <c r="K30" s="514">
        <v>0</v>
      </c>
      <c r="L30" s="515">
        <v>0</v>
      </c>
      <c r="M30" s="514">
        <v>0</v>
      </c>
      <c r="N30" s="514">
        <v>0</v>
      </c>
      <c r="O30" s="514">
        <v>0</v>
      </c>
      <c r="P30" s="514">
        <v>0</v>
      </c>
      <c r="Q30" s="515">
        <v>0</v>
      </c>
      <c r="R30" s="514">
        <v>0</v>
      </c>
      <c r="S30" s="514">
        <v>0</v>
      </c>
      <c r="T30" s="514">
        <v>0</v>
      </c>
      <c r="U30" s="582">
        <v>0</v>
      </c>
      <c r="V30" s="583">
        <v>0</v>
      </c>
      <c r="W30" s="514">
        <v>0</v>
      </c>
      <c r="X30" s="514">
        <v>0</v>
      </c>
      <c r="Y30" s="514">
        <v>0</v>
      </c>
      <c r="Z30" s="582">
        <v>0</v>
      </c>
      <c r="AA30" s="583">
        <v>0</v>
      </c>
      <c r="AB30" s="582">
        <v>0</v>
      </c>
      <c r="AC30" s="514">
        <v>0</v>
      </c>
      <c r="AD30" s="514">
        <v>0</v>
      </c>
      <c r="AE30" s="582">
        <v>0</v>
      </c>
      <c r="AF30" s="583">
        <v>0</v>
      </c>
    </row>
    <row r="31" spans="2:32" s="516" customFormat="1">
      <c r="B31" s="948" t="str">
        <f>names!$A832</f>
        <v xml:space="preserve">  - paraksylen</v>
      </c>
      <c r="C31" s="514">
        <v>0</v>
      </c>
      <c r="D31" s="514">
        <v>0</v>
      </c>
      <c r="E31" s="514">
        <v>0</v>
      </c>
      <c r="F31" s="514">
        <v>0</v>
      </c>
      <c r="G31" s="515">
        <v>0</v>
      </c>
      <c r="H31" s="514">
        <v>0</v>
      </c>
      <c r="I31" s="514">
        <v>0</v>
      </c>
      <c r="J31" s="514">
        <v>0</v>
      </c>
      <c r="K31" s="514">
        <v>0</v>
      </c>
      <c r="L31" s="515">
        <v>0</v>
      </c>
      <c r="M31" s="514">
        <v>0</v>
      </c>
      <c r="N31" s="514">
        <v>0</v>
      </c>
      <c r="O31" s="514">
        <v>0</v>
      </c>
      <c r="P31" s="514">
        <v>0</v>
      </c>
      <c r="Q31" s="515">
        <v>0</v>
      </c>
      <c r="R31" s="514">
        <v>0</v>
      </c>
      <c r="S31" s="514">
        <v>0</v>
      </c>
      <c r="T31" s="514">
        <v>0</v>
      </c>
      <c r="U31" s="582">
        <v>0</v>
      </c>
      <c r="V31" s="583">
        <v>0</v>
      </c>
      <c r="W31" s="514">
        <v>0</v>
      </c>
      <c r="X31" s="514">
        <v>0</v>
      </c>
      <c r="Y31" s="514">
        <v>0</v>
      </c>
      <c r="Z31" s="582">
        <v>0</v>
      </c>
      <c r="AA31" s="583">
        <v>0</v>
      </c>
      <c r="AB31" s="582">
        <v>0</v>
      </c>
      <c r="AC31" s="514">
        <v>0</v>
      </c>
      <c r="AD31" s="514">
        <v>0</v>
      </c>
      <c r="AE31" s="582">
        <v>0</v>
      </c>
      <c r="AF31" s="583">
        <v>0</v>
      </c>
    </row>
    <row r="32" spans="2:32" s="516" customFormat="1">
      <c r="B32" s="950" t="str">
        <f>names!$A833</f>
        <v xml:space="preserve">  - ortoksylen</v>
      </c>
      <c r="C32" s="517">
        <v>0</v>
      </c>
      <c r="D32" s="517">
        <v>0</v>
      </c>
      <c r="E32" s="517">
        <v>0</v>
      </c>
      <c r="F32" s="517">
        <v>0</v>
      </c>
      <c r="G32" s="518">
        <v>0</v>
      </c>
      <c r="H32" s="517">
        <v>0</v>
      </c>
      <c r="I32" s="517">
        <v>0</v>
      </c>
      <c r="J32" s="517">
        <v>0</v>
      </c>
      <c r="K32" s="517">
        <v>0</v>
      </c>
      <c r="L32" s="518">
        <v>0</v>
      </c>
      <c r="M32" s="517">
        <v>0</v>
      </c>
      <c r="N32" s="517">
        <v>0</v>
      </c>
      <c r="O32" s="517">
        <v>0</v>
      </c>
      <c r="P32" s="517">
        <v>0</v>
      </c>
      <c r="Q32" s="518">
        <v>0</v>
      </c>
      <c r="R32" s="517">
        <v>0</v>
      </c>
      <c r="S32" s="517">
        <v>0</v>
      </c>
      <c r="T32" s="517">
        <v>0</v>
      </c>
      <c r="U32" s="584">
        <v>0</v>
      </c>
      <c r="V32" s="585">
        <v>0</v>
      </c>
      <c r="W32" s="517">
        <v>0</v>
      </c>
      <c r="X32" s="517">
        <v>0</v>
      </c>
      <c r="Y32" s="517">
        <v>0</v>
      </c>
      <c r="Z32" s="584">
        <v>0</v>
      </c>
      <c r="AA32" s="585">
        <v>0</v>
      </c>
      <c r="AB32" s="584">
        <v>0</v>
      </c>
      <c r="AC32" s="517">
        <v>0</v>
      </c>
      <c r="AD32" s="517">
        <v>0</v>
      </c>
      <c r="AE32" s="584">
        <v>0</v>
      </c>
      <c r="AF32" s="585">
        <v>0</v>
      </c>
    </row>
    <row r="33" spans="2:32" s="526" customFormat="1">
      <c r="B33" s="949" t="str">
        <f>names!$A834</f>
        <v>Nawozy sztuczne, w tym:</v>
      </c>
      <c r="C33" s="524">
        <f>SUM(C34:C37)</f>
        <v>280</v>
      </c>
      <c r="D33" s="524">
        <f t="shared" ref="D33:AF33" si="13">SUM(D34:D37)</f>
        <v>223</v>
      </c>
      <c r="E33" s="524">
        <f t="shared" si="13"/>
        <v>268</v>
      </c>
      <c r="F33" s="524">
        <f t="shared" si="13"/>
        <v>259</v>
      </c>
      <c r="G33" s="525">
        <f t="shared" si="13"/>
        <v>1030</v>
      </c>
      <c r="H33" s="524">
        <f t="shared" si="13"/>
        <v>283</v>
      </c>
      <c r="I33" s="524">
        <f t="shared" si="13"/>
        <v>250</v>
      </c>
      <c r="J33" s="524">
        <f t="shared" si="13"/>
        <v>299</v>
      </c>
      <c r="K33" s="524">
        <f t="shared" si="13"/>
        <v>290</v>
      </c>
      <c r="L33" s="525">
        <f t="shared" si="13"/>
        <v>1122</v>
      </c>
      <c r="M33" s="524">
        <f t="shared" si="13"/>
        <v>305</v>
      </c>
      <c r="N33" s="524">
        <f t="shared" si="13"/>
        <v>279</v>
      </c>
      <c r="O33" s="524">
        <f t="shared" si="13"/>
        <v>293</v>
      </c>
      <c r="P33" s="524">
        <f t="shared" si="13"/>
        <v>257</v>
      </c>
      <c r="Q33" s="525">
        <f t="shared" si="13"/>
        <v>1134</v>
      </c>
      <c r="R33" s="524">
        <f t="shared" si="13"/>
        <v>251</v>
      </c>
      <c r="S33" s="524">
        <f t="shared" si="13"/>
        <v>284</v>
      </c>
      <c r="T33" s="524">
        <f t="shared" si="13"/>
        <v>179</v>
      </c>
      <c r="U33" s="520">
        <f t="shared" si="13"/>
        <v>201</v>
      </c>
      <c r="V33" s="521">
        <f t="shared" si="13"/>
        <v>915</v>
      </c>
      <c r="W33" s="524">
        <f t="shared" si="13"/>
        <v>201</v>
      </c>
      <c r="X33" s="524">
        <f t="shared" si="13"/>
        <v>282</v>
      </c>
      <c r="Y33" s="524">
        <f t="shared" si="13"/>
        <v>229</v>
      </c>
      <c r="Z33" s="520">
        <f t="shared" si="13"/>
        <v>262</v>
      </c>
      <c r="AA33" s="521">
        <f t="shared" si="13"/>
        <v>974</v>
      </c>
      <c r="AB33" s="520">
        <f t="shared" si="13"/>
        <v>281</v>
      </c>
      <c r="AC33" s="520">
        <f t="shared" si="13"/>
        <v>319</v>
      </c>
      <c r="AD33" s="520">
        <f t="shared" si="13"/>
        <v>247</v>
      </c>
      <c r="AE33" s="520">
        <f t="shared" si="13"/>
        <v>272</v>
      </c>
      <c r="AF33" s="521">
        <f t="shared" si="13"/>
        <v>1119</v>
      </c>
    </row>
    <row r="34" spans="2:32" s="516" customFormat="1">
      <c r="B34" s="948" t="str">
        <f>names!$A835</f>
        <v xml:space="preserve">  - CANWIL</v>
      </c>
      <c r="C34" s="514">
        <v>89</v>
      </c>
      <c r="D34" s="514">
        <v>60</v>
      </c>
      <c r="E34" s="514">
        <v>89</v>
      </c>
      <c r="F34" s="514">
        <v>72</v>
      </c>
      <c r="G34" s="515">
        <v>310</v>
      </c>
      <c r="H34" s="514">
        <v>88</v>
      </c>
      <c r="I34" s="514">
        <v>70</v>
      </c>
      <c r="J34" s="514">
        <v>97</v>
      </c>
      <c r="K34" s="514">
        <v>100</v>
      </c>
      <c r="L34" s="515">
        <v>355</v>
      </c>
      <c r="M34" s="514">
        <v>114</v>
      </c>
      <c r="N34" s="514">
        <v>76</v>
      </c>
      <c r="O34" s="514">
        <v>116</v>
      </c>
      <c r="P34" s="514">
        <v>84</v>
      </c>
      <c r="Q34" s="515">
        <v>390</v>
      </c>
      <c r="R34" s="514">
        <v>90</v>
      </c>
      <c r="S34" s="514">
        <v>83</v>
      </c>
      <c r="T34" s="514">
        <v>92</v>
      </c>
      <c r="U34" s="582">
        <v>64</v>
      </c>
      <c r="V34" s="583">
        <v>329</v>
      </c>
      <c r="W34" s="514">
        <v>68</v>
      </c>
      <c r="X34" s="514">
        <v>101</v>
      </c>
      <c r="Y34" s="514">
        <v>89</v>
      </c>
      <c r="Z34" s="582">
        <v>105</v>
      </c>
      <c r="AA34" s="583">
        <v>363</v>
      </c>
      <c r="AB34" s="582">
        <v>115</v>
      </c>
      <c r="AC34" s="514">
        <v>98</v>
      </c>
      <c r="AD34" s="514">
        <v>87</v>
      </c>
      <c r="AE34" s="582">
        <v>107</v>
      </c>
      <c r="AF34" s="583">
        <v>407</v>
      </c>
    </row>
    <row r="35" spans="2:32" s="516" customFormat="1">
      <c r="B35" s="948" t="str">
        <f>names!$A836</f>
        <v xml:space="preserve">  - siarczan amonu</v>
      </c>
      <c r="C35" s="514">
        <v>52</v>
      </c>
      <c r="D35" s="514">
        <v>33</v>
      </c>
      <c r="E35" s="514">
        <v>44</v>
      </c>
      <c r="F35" s="514">
        <v>38</v>
      </c>
      <c r="G35" s="515">
        <v>167</v>
      </c>
      <c r="H35" s="514">
        <v>49</v>
      </c>
      <c r="I35" s="514">
        <v>49</v>
      </c>
      <c r="J35" s="514">
        <v>27</v>
      </c>
      <c r="K35" s="514">
        <v>51</v>
      </c>
      <c r="L35" s="515">
        <v>176</v>
      </c>
      <c r="M35" s="514">
        <v>58</v>
      </c>
      <c r="N35" s="514">
        <v>58</v>
      </c>
      <c r="O35" s="514">
        <v>29</v>
      </c>
      <c r="P35" s="514">
        <v>48</v>
      </c>
      <c r="Q35" s="515">
        <v>193</v>
      </c>
      <c r="R35" s="514">
        <v>52</v>
      </c>
      <c r="S35" s="514">
        <v>50</v>
      </c>
      <c r="T35" s="514">
        <v>24</v>
      </c>
      <c r="U35" s="582">
        <v>38</v>
      </c>
      <c r="V35" s="583">
        <v>164</v>
      </c>
      <c r="W35" s="514">
        <v>24</v>
      </c>
      <c r="X35" s="514">
        <v>31</v>
      </c>
      <c r="Y35" s="514">
        <v>13</v>
      </c>
      <c r="Z35" s="582">
        <v>29</v>
      </c>
      <c r="AA35" s="583">
        <v>97</v>
      </c>
      <c r="AB35" s="582">
        <v>35</v>
      </c>
      <c r="AC35" s="514">
        <v>35</v>
      </c>
      <c r="AD35" s="514">
        <v>8</v>
      </c>
      <c r="AE35" s="582">
        <v>9</v>
      </c>
      <c r="AF35" s="583">
        <v>87</v>
      </c>
    </row>
    <row r="36" spans="2:32" s="516" customFormat="1">
      <c r="B36" s="948" t="str">
        <f>names!$A837</f>
        <v xml:space="preserve">  - saletra amonowa</v>
      </c>
      <c r="C36" s="514">
        <v>139</v>
      </c>
      <c r="D36" s="514">
        <v>130</v>
      </c>
      <c r="E36" s="514">
        <v>135</v>
      </c>
      <c r="F36" s="514">
        <v>149</v>
      </c>
      <c r="G36" s="515">
        <v>553</v>
      </c>
      <c r="H36" s="514">
        <v>146</v>
      </c>
      <c r="I36" s="514">
        <v>131</v>
      </c>
      <c r="J36" s="514">
        <v>175</v>
      </c>
      <c r="K36" s="514">
        <v>139</v>
      </c>
      <c r="L36" s="515">
        <v>591</v>
      </c>
      <c r="M36" s="514">
        <v>133</v>
      </c>
      <c r="N36" s="514">
        <v>145</v>
      </c>
      <c r="O36" s="514">
        <v>148</v>
      </c>
      <c r="P36" s="514">
        <v>125</v>
      </c>
      <c r="Q36" s="515">
        <v>551</v>
      </c>
      <c r="R36" s="514">
        <v>109</v>
      </c>
      <c r="S36" s="514">
        <v>151</v>
      </c>
      <c r="T36" s="514">
        <v>63</v>
      </c>
      <c r="U36" s="582">
        <v>99</v>
      </c>
      <c r="V36" s="583">
        <v>422</v>
      </c>
      <c r="W36" s="514">
        <v>109</v>
      </c>
      <c r="X36" s="514">
        <v>150</v>
      </c>
      <c r="Y36" s="514">
        <v>127</v>
      </c>
      <c r="Z36" s="582">
        <v>128</v>
      </c>
      <c r="AA36" s="583">
        <v>514</v>
      </c>
      <c r="AB36" s="582">
        <v>131</v>
      </c>
      <c r="AC36" s="514">
        <v>186</v>
      </c>
      <c r="AD36" s="514">
        <v>152</v>
      </c>
      <c r="AE36" s="582">
        <v>146</v>
      </c>
      <c r="AF36" s="583">
        <v>615</v>
      </c>
    </row>
    <row r="37" spans="2:32" s="516" customFormat="1">
      <c r="B37" s="950" t="str">
        <f>names!$A838</f>
        <v xml:space="preserve">  - pozostałe</v>
      </c>
      <c r="C37" s="517">
        <v>0</v>
      </c>
      <c r="D37" s="517">
        <v>0</v>
      </c>
      <c r="E37" s="517">
        <v>0</v>
      </c>
      <c r="F37" s="517">
        <v>0</v>
      </c>
      <c r="G37" s="518">
        <v>0</v>
      </c>
      <c r="H37" s="517">
        <v>0</v>
      </c>
      <c r="I37" s="517">
        <v>0</v>
      </c>
      <c r="J37" s="517">
        <v>0</v>
      </c>
      <c r="K37" s="517">
        <v>0</v>
      </c>
      <c r="L37" s="518">
        <v>0</v>
      </c>
      <c r="M37" s="517">
        <v>0</v>
      </c>
      <c r="N37" s="517">
        <v>0</v>
      </c>
      <c r="O37" s="517">
        <v>0</v>
      </c>
      <c r="P37" s="517">
        <v>0</v>
      </c>
      <c r="Q37" s="518">
        <v>0</v>
      </c>
      <c r="R37" s="517">
        <v>0</v>
      </c>
      <c r="S37" s="517">
        <v>0</v>
      </c>
      <c r="T37" s="517">
        <v>0</v>
      </c>
      <c r="U37" s="584">
        <v>0</v>
      </c>
      <c r="V37" s="585">
        <v>0</v>
      </c>
      <c r="W37" s="517">
        <v>0</v>
      </c>
      <c r="X37" s="517">
        <v>0</v>
      </c>
      <c r="Y37" s="517">
        <v>0</v>
      </c>
      <c r="Z37" s="584">
        <v>0</v>
      </c>
      <c r="AA37" s="585">
        <v>0</v>
      </c>
      <c r="AB37" s="584">
        <v>0</v>
      </c>
      <c r="AC37" s="517">
        <v>0</v>
      </c>
      <c r="AD37" s="517">
        <v>0</v>
      </c>
      <c r="AE37" s="584">
        <v>10</v>
      </c>
      <c r="AF37" s="585">
        <v>10</v>
      </c>
    </row>
    <row r="38" spans="2:32" s="526" customFormat="1">
      <c r="B38" s="949" t="str">
        <f>names!$A839</f>
        <v>Tworzywa sztuczne, w tym:</v>
      </c>
      <c r="C38" s="524">
        <f>SUM(C39:C40)</f>
        <v>106</v>
      </c>
      <c r="D38" s="524">
        <f t="shared" ref="D38:AF38" si="14">SUM(D39:D40)</f>
        <v>99</v>
      </c>
      <c r="E38" s="524">
        <f t="shared" si="14"/>
        <v>90</v>
      </c>
      <c r="F38" s="524">
        <f t="shared" si="14"/>
        <v>48</v>
      </c>
      <c r="G38" s="525">
        <f t="shared" si="14"/>
        <v>343</v>
      </c>
      <c r="H38" s="524">
        <f t="shared" si="14"/>
        <v>109</v>
      </c>
      <c r="I38" s="524">
        <f t="shared" si="14"/>
        <v>86</v>
      </c>
      <c r="J38" s="524">
        <f t="shared" si="14"/>
        <v>98</v>
      </c>
      <c r="K38" s="524">
        <f t="shared" si="14"/>
        <v>103</v>
      </c>
      <c r="L38" s="525">
        <f t="shared" si="14"/>
        <v>396</v>
      </c>
      <c r="M38" s="524">
        <f t="shared" si="14"/>
        <v>78</v>
      </c>
      <c r="N38" s="524">
        <f t="shared" si="14"/>
        <v>67</v>
      </c>
      <c r="O38" s="524">
        <f t="shared" si="14"/>
        <v>95</v>
      </c>
      <c r="P38" s="524">
        <f t="shared" si="14"/>
        <v>91</v>
      </c>
      <c r="Q38" s="525">
        <f t="shared" si="14"/>
        <v>331</v>
      </c>
      <c r="R38" s="524">
        <f t="shared" si="14"/>
        <v>116</v>
      </c>
      <c r="S38" s="524">
        <f t="shared" si="14"/>
        <v>103</v>
      </c>
      <c r="T38" s="524">
        <f t="shared" si="14"/>
        <v>85</v>
      </c>
      <c r="U38" s="520">
        <f t="shared" si="14"/>
        <v>67</v>
      </c>
      <c r="V38" s="521">
        <f t="shared" si="14"/>
        <v>371</v>
      </c>
      <c r="W38" s="524">
        <f t="shared" si="14"/>
        <v>83</v>
      </c>
      <c r="X38" s="524">
        <f t="shared" si="14"/>
        <v>55</v>
      </c>
      <c r="Y38" s="524">
        <f t="shared" si="14"/>
        <v>64</v>
      </c>
      <c r="Z38" s="520">
        <f t="shared" si="14"/>
        <v>30</v>
      </c>
      <c r="AA38" s="521">
        <f t="shared" si="14"/>
        <v>232</v>
      </c>
      <c r="AB38" s="520">
        <f t="shared" si="14"/>
        <v>49</v>
      </c>
      <c r="AC38" s="520">
        <f t="shared" si="14"/>
        <v>66</v>
      </c>
      <c r="AD38" s="520">
        <f t="shared" si="14"/>
        <v>74</v>
      </c>
      <c r="AE38" s="520">
        <f t="shared" si="14"/>
        <v>59</v>
      </c>
      <c r="AF38" s="521">
        <f t="shared" si="14"/>
        <v>248</v>
      </c>
    </row>
    <row r="39" spans="2:32" s="516" customFormat="1">
      <c r="B39" s="948" t="str">
        <f>names!$A840</f>
        <v xml:space="preserve">  - PCW</v>
      </c>
      <c r="C39" s="514">
        <v>92</v>
      </c>
      <c r="D39" s="514">
        <v>86</v>
      </c>
      <c r="E39" s="514">
        <v>75</v>
      </c>
      <c r="F39" s="514">
        <v>35</v>
      </c>
      <c r="G39" s="515">
        <v>288</v>
      </c>
      <c r="H39" s="514">
        <v>97</v>
      </c>
      <c r="I39" s="514">
        <v>74</v>
      </c>
      <c r="J39" s="514">
        <v>85</v>
      </c>
      <c r="K39" s="514">
        <v>88</v>
      </c>
      <c r="L39" s="515">
        <v>344</v>
      </c>
      <c r="M39" s="514">
        <v>63</v>
      </c>
      <c r="N39" s="514">
        <v>51</v>
      </c>
      <c r="O39" s="514">
        <v>79</v>
      </c>
      <c r="P39" s="514">
        <v>77</v>
      </c>
      <c r="Q39" s="515">
        <v>270</v>
      </c>
      <c r="R39" s="514">
        <v>101</v>
      </c>
      <c r="S39" s="514">
        <v>89</v>
      </c>
      <c r="T39" s="514">
        <v>73</v>
      </c>
      <c r="U39" s="582">
        <v>55</v>
      </c>
      <c r="V39" s="583">
        <v>318</v>
      </c>
      <c r="W39" s="514">
        <v>72</v>
      </c>
      <c r="X39" s="514">
        <v>44</v>
      </c>
      <c r="Y39" s="514">
        <v>53</v>
      </c>
      <c r="Z39" s="582">
        <v>19</v>
      </c>
      <c r="AA39" s="583">
        <v>188</v>
      </c>
      <c r="AB39" s="582">
        <v>38</v>
      </c>
      <c r="AC39" s="514">
        <v>55</v>
      </c>
      <c r="AD39" s="514">
        <v>64</v>
      </c>
      <c r="AE39" s="582">
        <f>49+1</f>
        <v>50</v>
      </c>
      <c r="AF39" s="583">
        <f>206+1</f>
        <v>207</v>
      </c>
    </row>
    <row r="40" spans="2:32" s="516" customFormat="1">
      <c r="B40" s="950" t="str">
        <f>names!$A841</f>
        <v xml:space="preserve">  - granulat PCW</v>
      </c>
      <c r="C40" s="517">
        <v>14</v>
      </c>
      <c r="D40" s="517">
        <v>13</v>
      </c>
      <c r="E40" s="517">
        <v>15</v>
      </c>
      <c r="F40" s="517">
        <v>13</v>
      </c>
      <c r="G40" s="518">
        <v>55</v>
      </c>
      <c r="H40" s="517">
        <v>12</v>
      </c>
      <c r="I40" s="517">
        <v>12</v>
      </c>
      <c r="J40" s="517">
        <v>13</v>
      </c>
      <c r="K40" s="517">
        <v>15</v>
      </c>
      <c r="L40" s="518">
        <v>52</v>
      </c>
      <c r="M40" s="517">
        <v>15</v>
      </c>
      <c r="N40" s="517">
        <v>16</v>
      </c>
      <c r="O40" s="517">
        <v>16</v>
      </c>
      <c r="P40" s="517">
        <v>14</v>
      </c>
      <c r="Q40" s="518">
        <v>61</v>
      </c>
      <c r="R40" s="517">
        <v>15</v>
      </c>
      <c r="S40" s="517">
        <v>14</v>
      </c>
      <c r="T40" s="517">
        <v>12</v>
      </c>
      <c r="U40" s="584">
        <v>12</v>
      </c>
      <c r="V40" s="585">
        <v>53</v>
      </c>
      <c r="W40" s="517">
        <v>11</v>
      </c>
      <c r="X40" s="517">
        <v>11</v>
      </c>
      <c r="Y40" s="517">
        <v>11</v>
      </c>
      <c r="Z40" s="584">
        <v>11</v>
      </c>
      <c r="AA40" s="585">
        <v>44</v>
      </c>
      <c r="AB40" s="584">
        <v>11</v>
      </c>
      <c r="AC40" s="517">
        <v>11</v>
      </c>
      <c r="AD40" s="517">
        <v>10</v>
      </c>
      <c r="AE40" s="584">
        <v>9</v>
      </c>
      <c r="AF40" s="585">
        <v>41</v>
      </c>
    </row>
    <row r="41" spans="2:32" s="526" customFormat="1">
      <c r="B41" s="954" t="str">
        <f>names!$A842</f>
        <v>PTA</v>
      </c>
      <c r="C41" s="139">
        <v>151</v>
      </c>
      <c r="D41" s="139">
        <v>163</v>
      </c>
      <c r="E41" s="139">
        <v>173</v>
      </c>
      <c r="F41" s="139">
        <v>160</v>
      </c>
      <c r="G41" s="187">
        <v>647</v>
      </c>
      <c r="H41" s="139">
        <v>156</v>
      </c>
      <c r="I41" s="139">
        <v>142</v>
      </c>
      <c r="J41" s="139">
        <v>149</v>
      </c>
      <c r="K41" s="139">
        <v>184</v>
      </c>
      <c r="L41" s="187">
        <v>631</v>
      </c>
      <c r="M41" s="139">
        <v>141</v>
      </c>
      <c r="N41" s="139">
        <v>146</v>
      </c>
      <c r="O41" s="139">
        <v>137</v>
      </c>
      <c r="P41" s="139">
        <v>94</v>
      </c>
      <c r="Q41" s="187">
        <v>518</v>
      </c>
      <c r="R41" s="139">
        <v>169</v>
      </c>
      <c r="S41" s="139">
        <v>161</v>
      </c>
      <c r="T41" s="139">
        <v>122</v>
      </c>
      <c r="U41" s="460">
        <v>120</v>
      </c>
      <c r="V41" s="464">
        <v>572</v>
      </c>
      <c r="W41" s="139">
        <v>98</v>
      </c>
      <c r="X41" s="139">
        <v>102</v>
      </c>
      <c r="Y41" s="139">
        <v>112</v>
      </c>
      <c r="Z41" s="460">
        <v>101</v>
      </c>
      <c r="AA41" s="464">
        <v>413</v>
      </c>
      <c r="AB41" s="460">
        <v>134</v>
      </c>
      <c r="AC41" s="139">
        <v>130</v>
      </c>
      <c r="AD41" s="139">
        <v>159</v>
      </c>
      <c r="AE41" s="460">
        <v>152</v>
      </c>
      <c r="AF41" s="464">
        <v>575</v>
      </c>
    </row>
    <row r="42" spans="2:32" s="526" customFormat="1">
      <c r="B42" s="951" t="str">
        <f>names!$A843</f>
        <v>Pozostałe</v>
      </c>
      <c r="C42" s="139">
        <f t="shared" ref="C42:AF42" si="15">C21-C22-C25-C28-C33-C38-C41</f>
        <v>313</v>
      </c>
      <c r="D42" s="139">
        <f t="shared" si="15"/>
        <v>291</v>
      </c>
      <c r="E42" s="139">
        <f t="shared" si="15"/>
        <v>316</v>
      </c>
      <c r="F42" s="139">
        <f t="shared" si="15"/>
        <v>282</v>
      </c>
      <c r="G42" s="187">
        <f t="shared" si="15"/>
        <v>1202</v>
      </c>
      <c r="H42" s="139">
        <f t="shared" si="15"/>
        <v>306</v>
      </c>
      <c r="I42" s="139">
        <f t="shared" si="15"/>
        <v>223</v>
      </c>
      <c r="J42" s="139">
        <f t="shared" si="15"/>
        <v>296</v>
      </c>
      <c r="K42" s="139">
        <f t="shared" si="15"/>
        <v>302</v>
      </c>
      <c r="L42" s="187">
        <f t="shared" si="15"/>
        <v>1127</v>
      </c>
      <c r="M42" s="139">
        <f t="shared" si="15"/>
        <v>296</v>
      </c>
      <c r="N42" s="139">
        <f t="shared" si="15"/>
        <v>270</v>
      </c>
      <c r="O42" s="139">
        <f t="shared" si="15"/>
        <v>301</v>
      </c>
      <c r="P42" s="139">
        <f t="shared" si="15"/>
        <v>312</v>
      </c>
      <c r="Q42" s="187">
        <f t="shared" si="15"/>
        <v>1179</v>
      </c>
      <c r="R42" s="139">
        <f t="shared" si="15"/>
        <v>326</v>
      </c>
      <c r="S42" s="139">
        <f t="shared" si="15"/>
        <v>306</v>
      </c>
      <c r="T42" s="139">
        <f t="shared" si="15"/>
        <v>291</v>
      </c>
      <c r="U42" s="460">
        <f t="shared" si="15"/>
        <v>282</v>
      </c>
      <c r="V42" s="464">
        <f t="shared" si="15"/>
        <v>1205</v>
      </c>
      <c r="W42" s="139">
        <f t="shared" si="15"/>
        <v>280</v>
      </c>
      <c r="X42" s="139">
        <f t="shared" si="15"/>
        <v>294</v>
      </c>
      <c r="Y42" s="139">
        <f t="shared" si="15"/>
        <v>269</v>
      </c>
      <c r="Z42" s="460">
        <f t="shared" si="15"/>
        <v>218</v>
      </c>
      <c r="AA42" s="464">
        <f t="shared" si="15"/>
        <v>1061</v>
      </c>
      <c r="AB42" s="460">
        <f t="shared" si="15"/>
        <v>280</v>
      </c>
      <c r="AC42" s="460">
        <f t="shared" si="15"/>
        <v>229</v>
      </c>
      <c r="AD42" s="460">
        <f t="shared" si="15"/>
        <v>258</v>
      </c>
      <c r="AE42" s="460">
        <f t="shared" si="15"/>
        <v>254</v>
      </c>
      <c r="AF42" s="464">
        <f t="shared" si="15"/>
        <v>1021</v>
      </c>
    </row>
    <row r="43" spans="2:32" ht="6" customHeight="1" thickBot="1">
      <c r="B43" s="952"/>
      <c r="C43" s="459"/>
      <c r="D43" s="459"/>
      <c r="E43" s="459"/>
      <c r="F43" s="459"/>
      <c r="G43" s="463"/>
      <c r="H43" s="459"/>
      <c r="I43" s="459"/>
      <c r="J43" s="459"/>
      <c r="K43" s="459"/>
      <c r="L43" s="463"/>
      <c r="M43" s="459"/>
      <c r="N43" s="459"/>
      <c r="O43" s="459"/>
      <c r="P43" s="459"/>
      <c r="Q43" s="463"/>
      <c r="R43" s="459"/>
      <c r="S43" s="459"/>
      <c r="T43" s="459"/>
      <c r="U43" s="459"/>
      <c r="V43" s="463"/>
      <c r="W43" s="138"/>
      <c r="X43" s="459"/>
      <c r="Y43" s="459"/>
      <c r="Z43" s="459"/>
      <c r="AA43" s="463"/>
      <c r="AB43" s="459"/>
      <c r="AC43" s="667"/>
      <c r="AD43" s="459"/>
      <c r="AE43" s="459"/>
      <c r="AF43" s="463"/>
    </row>
    <row r="44" spans="2:32" ht="13.5" thickBot="1">
      <c r="B44" s="946" t="str">
        <f>names!$A845</f>
        <v>Segment Detal</v>
      </c>
      <c r="C44" s="134">
        <f>SUM(C45,C48,C51)</f>
        <v>2236</v>
      </c>
      <c r="D44" s="134">
        <f t="shared" ref="D44:AF44" si="16">SUM(D45,D48,D51)</f>
        <v>2480</v>
      </c>
      <c r="E44" s="134">
        <f t="shared" si="16"/>
        <v>2620</v>
      </c>
      <c r="F44" s="134">
        <f t="shared" si="16"/>
        <v>2481</v>
      </c>
      <c r="G44" s="185">
        <f t="shared" si="16"/>
        <v>9817</v>
      </c>
      <c r="H44" s="168">
        <f t="shared" si="16"/>
        <v>2213</v>
      </c>
      <c r="I44" s="134">
        <f t="shared" si="16"/>
        <v>1988</v>
      </c>
      <c r="J44" s="134">
        <f t="shared" si="16"/>
        <v>2512</v>
      </c>
      <c r="K44" s="134">
        <f t="shared" si="16"/>
        <v>2139</v>
      </c>
      <c r="L44" s="185">
        <f t="shared" si="16"/>
        <v>8852</v>
      </c>
      <c r="M44" s="134">
        <f t="shared" si="16"/>
        <v>1921</v>
      </c>
      <c r="N44" s="134">
        <f t="shared" si="16"/>
        <v>2249</v>
      </c>
      <c r="O44" s="134">
        <f t="shared" si="16"/>
        <v>2481</v>
      </c>
      <c r="P44" s="134">
        <f t="shared" si="16"/>
        <v>2323</v>
      </c>
      <c r="Q44" s="185">
        <f t="shared" si="16"/>
        <v>8974</v>
      </c>
      <c r="R44" s="168">
        <f t="shared" si="16"/>
        <v>2175</v>
      </c>
      <c r="S44" s="168">
        <f t="shared" si="16"/>
        <v>2336</v>
      </c>
      <c r="T44" s="168">
        <f t="shared" si="16"/>
        <v>2543</v>
      </c>
      <c r="U44" s="168">
        <f t="shared" si="16"/>
        <v>2298</v>
      </c>
      <c r="V44" s="185">
        <f t="shared" si="16"/>
        <v>9352</v>
      </c>
      <c r="W44" s="631">
        <f t="shared" si="16"/>
        <v>2166</v>
      </c>
      <c r="X44" s="168">
        <f t="shared" si="16"/>
        <v>2454</v>
      </c>
      <c r="Y44" s="168">
        <f t="shared" si="16"/>
        <v>2804</v>
      </c>
      <c r="Z44" s="168">
        <f t="shared" si="16"/>
        <v>2781</v>
      </c>
      <c r="AA44" s="185">
        <f t="shared" si="16"/>
        <v>10205</v>
      </c>
      <c r="AB44" s="168">
        <f t="shared" si="16"/>
        <v>2602</v>
      </c>
      <c r="AC44" s="168">
        <f t="shared" si="16"/>
        <v>2891</v>
      </c>
      <c r="AD44" s="168">
        <f t="shared" si="16"/>
        <v>3032</v>
      </c>
      <c r="AE44" s="168">
        <f t="shared" si="16"/>
        <v>2783</v>
      </c>
      <c r="AF44" s="185">
        <f t="shared" si="16"/>
        <v>11308</v>
      </c>
    </row>
    <row r="45" spans="2:32">
      <c r="B45" s="955" t="str">
        <f>names!$A846</f>
        <v>Lekkie destylaty, w tym:</v>
      </c>
      <c r="C45" s="522">
        <f t="shared" ref="C45:G45" si="17">SUM(C46:C47)</f>
        <v>849</v>
      </c>
      <c r="D45" s="522">
        <f t="shared" si="17"/>
        <v>973</v>
      </c>
      <c r="E45" s="522">
        <f t="shared" si="17"/>
        <v>1012</v>
      </c>
      <c r="F45" s="522">
        <f t="shared" si="17"/>
        <v>942</v>
      </c>
      <c r="G45" s="523">
        <f t="shared" si="17"/>
        <v>3776</v>
      </c>
      <c r="H45" s="522">
        <f>SUM(H46:H47)</f>
        <v>855</v>
      </c>
      <c r="I45" s="522">
        <f t="shared" ref="I45:AF45" si="18">SUM(I46:I47)</f>
        <v>773</v>
      </c>
      <c r="J45" s="522">
        <f t="shared" si="18"/>
        <v>1016</v>
      </c>
      <c r="K45" s="522">
        <f t="shared" si="18"/>
        <v>811</v>
      </c>
      <c r="L45" s="523">
        <f t="shared" si="18"/>
        <v>3455</v>
      </c>
      <c r="M45" s="522">
        <f t="shared" si="18"/>
        <v>727</v>
      </c>
      <c r="N45" s="522">
        <f t="shared" si="18"/>
        <v>912</v>
      </c>
      <c r="O45" s="522">
        <f t="shared" si="18"/>
        <v>1018</v>
      </c>
      <c r="P45" s="522">
        <f t="shared" si="18"/>
        <v>911</v>
      </c>
      <c r="Q45" s="523">
        <f t="shared" si="18"/>
        <v>3568</v>
      </c>
      <c r="R45" s="522">
        <f t="shared" si="18"/>
        <v>837</v>
      </c>
      <c r="S45" s="522">
        <f t="shared" si="18"/>
        <v>949</v>
      </c>
      <c r="T45" s="522">
        <f t="shared" si="18"/>
        <v>1050</v>
      </c>
      <c r="U45" s="522">
        <f t="shared" si="18"/>
        <v>933</v>
      </c>
      <c r="V45" s="523">
        <f t="shared" si="18"/>
        <v>3769</v>
      </c>
      <c r="W45" s="632">
        <f t="shared" si="18"/>
        <v>868</v>
      </c>
      <c r="X45" s="522">
        <f t="shared" si="18"/>
        <v>1017</v>
      </c>
      <c r="Y45" s="522">
        <f t="shared" si="18"/>
        <v>1143</v>
      </c>
      <c r="Z45" s="522">
        <f t="shared" si="18"/>
        <v>1056</v>
      </c>
      <c r="AA45" s="523">
        <f t="shared" si="18"/>
        <v>4084</v>
      </c>
      <c r="AB45" s="522">
        <f t="shared" si="18"/>
        <v>1020</v>
      </c>
      <c r="AC45" s="522">
        <f t="shared" si="18"/>
        <v>1187</v>
      </c>
      <c r="AD45" s="522">
        <f t="shared" si="18"/>
        <v>1256</v>
      </c>
      <c r="AE45" s="522">
        <f t="shared" si="18"/>
        <v>1125</v>
      </c>
      <c r="AF45" s="523">
        <f t="shared" si="18"/>
        <v>4588</v>
      </c>
    </row>
    <row r="46" spans="2:32" s="516" customFormat="1">
      <c r="B46" s="948" t="str">
        <f>names!$A847</f>
        <v xml:space="preserve">  - benzyna</v>
      </c>
      <c r="C46" s="514">
        <v>744</v>
      </c>
      <c r="D46" s="514">
        <v>854</v>
      </c>
      <c r="E46" s="514">
        <v>881</v>
      </c>
      <c r="F46" s="514">
        <v>822</v>
      </c>
      <c r="G46" s="515">
        <v>3301</v>
      </c>
      <c r="H46" s="514">
        <v>751</v>
      </c>
      <c r="I46" s="514">
        <v>679</v>
      </c>
      <c r="J46" s="514">
        <v>891</v>
      </c>
      <c r="K46" s="514">
        <v>716</v>
      </c>
      <c r="L46" s="515">
        <v>3037</v>
      </c>
      <c r="M46" s="514">
        <v>641</v>
      </c>
      <c r="N46" s="514">
        <v>806</v>
      </c>
      <c r="O46" s="514">
        <v>899</v>
      </c>
      <c r="P46" s="514">
        <v>814</v>
      </c>
      <c r="Q46" s="515">
        <v>3160</v>
      </c>
      <c r="R46" s="514">
        <v>744</v>
      </c>
      <c r="S46" s="514">
        <v>842</v>
      </c>
      <c r="T46" s="514">
        <v>938</v>
      </c>
      <c r="U46" s="582">
        <v>830</v>
      </c>
      <c r="V46" s="583">
        <v>3354</v>
      </c>
      <c r="W46" s="514">
        <v>772</v>
      </c>
      <c r="X46" s="514">
        <v>906</v>
      </c>
      <c r="Y46" s="514">
        <v>1026</v>
      </c>
      <c r="Z46" s="582">
        <v>950</v>
      </c>
      <c r="AA46" s="583">
        <v>3654</v>
      </c>
      <c r="AB46" s="582">
        <v>919</v>
      </c>
      <c r="AC46" s="514">
        <v>1073</v>
      </c>
      <c r="AD46" s="514">
        <v>1134</v>
      </c>
      <c r="AE46" s="582">
        <v>1021</v>
      </c>
      <c r="AF46" s="583">
        <v>4147</v>
      </c>
    </row>
    <row r="47" spans="2:32" s="516" customFormat="1">
      <c r="B47" s="950" t="str">
        <f>names!$A848</f>
        <v xml:space="preserve">  - LPG</v>
      </c>
      <c r="C47" s="517">
        <v>105</v>
      </c>
      <c r="D47" s="517">
        <v>119</v>
      </c>
      <c r="E47" s="517">
        <v>131</v>
      </c>
      <c r="F47" s="517">
        <v>120</v>
      </c>
      <c r="G47" s="518">
        <v>475</v>
      </c>
      <c r="H47" s="517">
        <v>104</v>
      </c>
      <c r="I47" s="517">
        <v>94</v>
      </c>
      <c r="J47" s="517">
        <v>125</v>
      </c>
      <c r="K47" s="517">
        <v>95</v>
      </c>
      <c r="L47" s="518">
        <v>418</v>
      </c>
      <c r="M47" s="517">
        <v>86</v>
      </c>
      <c r="N47" s="517">
        <v>106</v>
      </c>
      <c r="O47" s="517">
        <v>119</v>
      </c>
      <c r="P47" s="517">
        <v>97</v>
      </c>
      <c r="Q47" s="518">
        <v>408</v>
      </c>
      <c r="R47" s="517">
        <v>93</v>
      </c>
      <c r="S47" s="517">
        <v>107</v>
      </c>
      <c r="T47" s="517">
        <v>112</v>
      </c>
      <c r="U47" s="584">
        <v>103</v>
      </c>
      <c r="V47" s="585">
        <v>415</v>
      </c>
      <c r="W47" s="517">
        <v>96</v>
      </c>
      <c r="X47" s="517">
        <v>111</v>
      </c>
      <c r="Y47" s="517">
        <v>117</v>
      </c>
      <c r="Z47" s="584">
        <v>106</v>
      </c>
      <c r="AA47" s="585">
        <v>430</v>
      </c>
      <c r="AB47" s="584">
        <v>101</v>
      </c>
      <c r="AC47" s="517">
        <v>114</v>
      </c>
      <c r="AD47" s="517">
        <v>122</v>
      </c>
      <c r="AE47" s="584">
        <v>104</v>
      </c>
      <c r="AF47" s="585">
        <v>441</v>
      </c>
    </row>
    <row r="48" spans="2:32">
      <c r="B48" s="949" t="str">
        <f>names!$A849</f>
        <v>Średnie destylaty, w tym:</v>
      </c>
      <c r="C48" s="520">
        <f t="shared" ref="C48:G48" si="19">SUM(C49:C50)</f>
        <v>1387</v>
      </c>
      <c r="D48" s="520">
        <f t="shared" si="19"/>
        <v>1507</v>
      </c>
      <c r="E48" s="520">
        <f t="shared" si="19"/>
        <v>1607</v>
      </c>
      <c r="F48" s="520">
        <f t="shared" si="19"/>
        <v>1538</v>
      </c>
      <c r="G48" s="521">
        <f t="shared" si="19"/>
        <v>6039</v>
      </c>
      <c r="H48" s="520">
        <f>SUM(H49:H50)</f>
        <v>1358</v>
      </c>
      <c r="I48" s="520">
        <f t="shared" ref="I48:AF48" si="20">SUM(I49:I50)</f>
        <v>1214</v>
      </c>
      <c r="J48" s="520">
        <f t="shared" si="20"/>
        <v>1495</v>
      </c>
      <c r="K48" s="520">
        <f t="shared" si="20"/>
        <v>1327</v>
      </c>
      <c r="L48" s="521">
        <f t="shared" si="20"/>
        <v>5394</v>
      </c>
      <c r="M48" s="520">
        <f t="shared" si="20"/>
        <v>1192</v>
      </c>
      <c r="N48" s="520">
        <f t="shared" si="20"/>
        <v>1336</v>
      </c>
      <c r="O48" s="520">
        <f t="shared" si="20"/>
        <v>1462</v>
      </c>
      <c r="P48" s="520">
        <f t="shared" si="20"/>
        <v>1411</v>
      </c>
      <c r="Q48" s="521">
        <f t="shared" si="20"/>
        <v>5401</v>
      </c>
      <c r="R48" s="520">
        <f t="shared" si="20"/>
        <v>1335</v>
      </c>
      <c r="S48" s="520">
        <f t="shared" si="20"/>
        <v>1386</v>
      </c>
      <c r="T48" s="520">
        <f t="shared" si="20"/>
        <v>1493</v>
      </c>
      <c r="U48" s="520">
        <f t="shared" si="20"/>
        <v>1363</v>
      </c>
      <c r="V48" s="521">
        <f t="shared" si="20"/>
        <v>5577</v>
      </c>
      <c r="W48" s="524">
        <f t="shared" si="20"/>
        <v>1296</v>
      </c>
      <c r="X48" s="520">
        <f t="shared" si="20"/>
        <v>1436</v>
      </c>
      <c r="Y48" s="520">
        <f t="shared" si="20"/>
        <v>1658</v>
      </c>
      <c r="Z48" s="520">
        <f t="shared" si="20"/>
        <v>1723</v>
      </c>
      <c r="AA48" s="521">
        <f t="shared" si="20"/>
        <v>6113</v>
      </c>
      <c r="AB48" s="520">
        <f t="shared" si="20"/>
        <v>1580</v>
      </c>
      <c r="AC48" s="520">
        <f t="shared" si="20"/>
        <v>1701</v>
      </c>
      <c r="AD48" s="520">
        <f t="shared" si="20"/>
        <v>1772</v>
      </c>
      <c r="AE48" s="520">
        <f t="shared" si="20"/>
        <v>1654</v>
      </c>
      <c r="AF48" s="521">
        <f t="shared" si="20"/>
        <v>6707</v>
      </c>
    </row>
    <row r="49" spans="2:32" s="516" customFormat="1">
      <c r="B49" s="948" t="str">
        <f>names!$A850</f>
        <v xml:space="preserve">  - olej napędowy</v>
      </c>
      <c r="C49" s="514">
        <v>1351</v>
      </c>
      <c r="D49" s="514">
        <v>1475</v>
      </c>
      <c r="E49" s="514">
        <v>1562</v>
      </c>
      <c r="F49" s="514">
        <v>1505</v>
      </c>
      <c r="G49" s="515">
        <v>5893</v>
      </c>
      <c r="H49" s="514">
        <v>1322</v>
      </c>
      <c r="I49" s="514">
        <v>1182</v>
      </c>
      <c r="J49" s="514">
        <v>1471</v>
      </c>
      <c r="K49" s="514">
        <v>1296</v>
      </c>
      <c r="L49" s="515">
        <v>5271</v>
      </c>
      <c r="M49" s="514">
        <v>1174</v>
      </c>
      <c r="N49" s="514">
        <v>1317</v>
      </c>
      <c r="O49" s="514">
        <v>1443</v>
      </c>
      <c r="P49" s="514">
        <v>1385</v>
      </c>
      <c r="Q49" s="515">
        <v>5319</v>
      </c>
      <c r="R49" s="514">
        <v>1317</v>
      </c>
      <c r="S49" s="514">
        <v>1370</v>
      </c>
      <c r="T49" s="514">
        <v>1469</v>
      </c>
      <c r="U49" s="582">
        <v>1344</v>
      </c>
      <c r="V49" s="583">
        <v>5500</v>
      </c>
      <c r="W49" s="514">
        <v>1275</v>
      </c>
      <c r="X49" s="514">
        <v>1414</v>
      </c>
      <c r="Y49" s="514">
        <v>1640</v>
      </c>
      <c r="Z49" s="582">
        <v>1690</v>
      </c>
      <c r="AA49" s="583">
        <v>6019</v>
      </c>
      <c r="AB49" s="582">
        <v>1549</v>
      </c>
      <c r="AC49" s="514">
        <v>1672</v>
      </c>
      <c r="AD49" s="514">
        <v>1746</v>
      </c>
      <c r="AE49" s="582">
        <v>1618</v>
      </c>
      <c r="AF49" s="583">
        <v>6585</v>
      </c>
    </row>
    <row r="50" spans="2:32" s="516" customFormat="1">
      <c r="B50" s="948" t="str">
        <f>names!$A851</f>
        <v xml:space="preserve">  - lekki olej opałowy</v>
      </c>
      <c r="C50" s="514">
        <v>36</v>
      </c>
      <c r="D50" s="514">
        <v>32</v>
      </c>
      <c r="E50" s="514">
        <v>45</v>
      </c>
      <c r="F50" s="514">
        <v>33</v>
      </c>
      <c r="G50" s="515">
        <v>146</v>
      </c>
      <c r="H50" s="514">
        <v>36</v>
      </c>
      <c r="I50" s="514">
        <v>32</v>
      </c>
      <c r="J50" s="514">
        <v>24</v>
      </c>
      <c r="K50" s="514">
        <v>31</v>
      </c>
      <c r="L50" s="515">
        <v>123</v>
      </c>
      <c r="M50" s="514">
        <v>18</v>
      </c>
      <c r="N50" s="514">
        <v>19</v>
      </c>
      <c r="O50" s="514">
        <v>19</v>
      </c>
      <c r="P50" s="514">
        <v>26</v>
      </c>
      <c r="Q50" s="515">
        <v>82</v>
      </c>
      <c r="R50" s="514">
        <v>18</v>
      </c>
      <c r="S50" s="514">
        <v>16</v>
      </c>
      <c r="T50" s="514">
        <v>24</v>
      </c>
      <c r="U50" s="582">
        <v>19</v>
      </c>
      <c r="V50" s="583">
        <v>77</v>
      </c>
      <c r="W50" s="514">
        <v>21</v>
      </c>
      <c r="X50" s="514">
        <v>22</v>
      </c>
      <c r="Y50" s="514">
        <v>18</v>
      </c>
      <c r="Z50" s="582">
        <v>33</v>
      </c>
      <c r="AA50" s="583">
        <v>94</v>
      </c>
      <c r="AB50" s="582">
        <v>31</v>
      </c>
      <c r="AC50" s="514">
        <v>29</v>
      </c>
      <c r="AD50" s="514">
        <v>26</v>
      </c>
      <c r="AE50" s="582">
        <v>36</v>
      </c>
      <c r="AF50" s="583">
        <v>122</v>
      </c>
    </row>
    <row r="51" spans="2:32" s="526" customFormat="1">
      <c r="B51" s="954" t="str">
        <f>names!$A852</f>
        <v>Pozostałe</v>
      </c>
      <c r="C51" s="139">
        <v>0</v>
      </c>
      <c r="D51" s="139">
        <v>0</v>
      </c>
      <c r="E51" s="139">
        <v>1</v>
      </c>
      <c r="F51" s="139">
        <v>1</v>
      </c>
      <c r="G51" s="187">
        <v>2</v>
      </c>
      <c r="H51" s="139">
        <v>0</v>
      </c>
      <c r="I51" s="139">
        <v>1</v>
      </c>
      <c r="J51" s="139">
        <v>1</v>
      </c>
      <c r="K51" s="139">
        <v>1</v>
      </c>
      <c r="L51" s="187">
        <v>3</v>
      </c>
      <c r="M51" s="139">
        <v>2</v>
      </c>
      <c r="N51" s="139">
        <v>1</v>
      </c>
      <c r="O51" s="139">
        <v>1</v>
      </c>
      <c r="P51" s="139">
        <v>1</v>
      </c>
      <c r="Q51" s="187">
        <v>5</v>
      </c>
      <c r="R51" s="139">
        <v>3</v>
      </c>
      <c r="S51" s="139">
        <v>1</v>
      </c>
      <c r="T51" s="139">
        <v>0</v>
      </c>
      <c r="U51" s="460">
        <v>2</v>
      </c>
      <c r="V51" s="464">
        <v>6</v>
      </c>
      <c r="W51" s="139">
        <v>2</v>
      </c>
      <c r="X51" s="139">
        <v>1</v>
      </c>
      <c r="Y51" s="139">
        <v>3</v>
      </c>
      <c r="Z51" s="460">
        <v>2</v>
      </c>
      <c r="AA51" s="464">
        <v>8</v>
      </c>
      <c r="AB51" s="460">
        <v>2</v>
      </c>
      <c r="AC51" s="139">
        <v>3</v>
      </c>
      <c r="AD51" s="139">
        <v>4</v>
      </c>
      <c r="AE51" s="460">
        <f>3+1</f>
        <v>4</v>
      </c>
      <c r="AF51" s="464">
        <f>11+2</f>
        <v>13</v>
      </c>
    </row>
    <row r="52" spans="2:32" ht="6" customHeight="1" thickBot="1">
      <c r="B52" s="952"/>
      <c r="C52" s="459"/>
      <c r="D52" s="459"/>
      <c r="E52" s="459"/>
      <c r="F52" s="459"/>
      <c r="G52" s="463"/>
      <c r="H52" s="459"/>
      <c r="I52" s="459"/>
      <c r="J52" s="459"/>
      <c r="K52" s="459"/>
      <c r="L52" s="463"/>
      <c r="M52" s="459"/>
      <c r="N52" s="459"/>
      <c r="O52" s="459"/>
      <c r="P52" s="459"/>
      <c r="Q52" s="463"/>
      <c r="R52" s="459"/>
      <c r="S52" s="459"/>
      <c r="T52" s="459"/>
      <c r="U52" s="459"/>
      <c r="V52" s="463"/>
      <c r="W52" s="138"/>
      <c r="X52" s="459"/>
      <c r="Y52" s="459"/>
      <c r="Z52" s="459"/>
      <c r="AA52" s="463"/>
      <c r="AB52" s="459"/>
      <c r="AC52" s="459"/>
      <c r="AD52" s="459"/>
      <c r="AE52" s="459"/>
      <c r="AF52" s="463"/>
    </row>
    <row r="53" spans="2:32" ht="13.5" thickBot="1">
      <c r="B53" s="956" t="str">
        <f>names!$A854</f>
        <v>Segment Wydobycie</v>
      </c>
      <c r="C53" s="134">
        <f t="shared" ref="C53:AF53" si="21">SUM(C54:C58)</f>
        <v>184</v>
      </c>
      <c r="D53" s="134">
        <f t="shared" si="21"/>
        <v>179</v>
      </c>
      <c r="E53" s="134">
        <f t="shared" si="21"/>
        <v>180</v>
      </c>
      <c r="F53" s="134">
        <f t="shared" si="21"/>
        <v>193</v>
      </c>
      <c r="G53" s="185">
        <f t="shared" si="21"/>
        <v>736</v>
      </c>
      <c r="H53" s="168">
        <f t="shared" si="21"/>
        <v>204</v>
      </c>
      <c r="I53" s="134">
        <f t="shared" si="21"/>
        <v>192</v>
      </c>
      <c r="J53" s="134">
        <f t="shared" si="21"/>
        <v>177</v>
      </c>
      <c r="K53" s="134">
        <f t="shared" si="21"/>
        <v>169</v>
      </c>
      <c r="L53" s="185">
        <f t="shared" si="21"/>
        <v>742</v>
      </c>
      <c r="M53" s="134">
        <f t="shared" si="21"/>
        <v>156</v>
      </c>
      <c r="N53" s="134">
        <f t="shared" si="21"/>
        <v>174</v>
      </c>
      <c r="O53" s="134">
        <f t="shared" si="21"/>
        <v>166</v>
      </c>
      <c r="P53" s="134">
        <f t="shared" si="21"/>
        <v>158</v>
      </c>
      <c r="Q53" s="185">
        <f t="shared" si="21"/>
        <v>654</v>
      </c>
      <c r="R53" s="168">
        <f t="shared" si="21"/>
        <v>160</v>
      </c>
      <c r="S53" s="168">
        <f t="shared" si="21"/>
        <v>179</v>
      </c>
      <c r="T53" s="168">
        <f t="shared" si="21"/>
        <v>225</v>
      </c>
      <c r="U53" s="168">
        <f t="shared" si="21"/>
        <v>274</v>
      </c>
      <c r="V53" s="185">
        <f t="shared" si="21"/>
        <v>838</v>
      </c>
      <c r="W53" s="631">
        <f t="shared" si="21"/>
        <v>520</v>
      </c>
      <c r="X53" s="168">
        <f t="shared" si="21"/>
        <v>521</v>
      </c>
      <c r="Y53" s="168">
        <f t="shared" si="21"/>
        <v>411</v>
      </c>
      <c r="Z53" s="168">
        <f t="shared" si="21"/>
        <v>429</v>
      </c>
      <c r="AA53" s="185">
        <f t="shared" si="21"/>
        <v>1881</v>
      </c>
      <c r="AB53" s="168">
        <f t="shared" si="21"/>
        <v>662</v>
      </c>
      <c r="AC53" s="168">
        <f t="shared" si="21"/>
        <v>508</v>
      </c>
      <c r="AD53" s="168">
        <f t="shared" si="21"/>
        <v>548</v>
      </c>
      <c r="AE53" s="168">
        <f t="shared" si="21"/>
        <v>677</v>
      </c>
      <c r="AF53" s="185">
        <f t="shared" si="21"/>
        <v>2395</v>
      </c>
    </row>
    <row r="54" spans="2:32">
      <c r="B54" s="957" t="str">
        <f>names!$A855</f>
        <v>Ropa naftowa</v>
      </c>
      <c r="C54" s="461">
        <v>19</v>
      </c>
      <c r="D54" s="461">
        <v>19</v>
      </c>
      <c r="E54" s="461">
        <v>22</v>
      </c>
      <c r="F54" s="461">
        <v>36</v>
      </c>
      <c r="G54" s="465">
        <v>96</v>
      </c>
      <c r="H54" s="461">
        <v>39</v>
      </c>
      <c r="I54" s="461">
        <v>26</v>
      </c>
      <c r="J54" s="461">
        <v>20</v>
      </c>
      <c r="K54" s="461">
        <v>17</v>
      </c>
      <c r="L54" s="465">
        <v>102</v>
      </c>
      <c r="M54" s="461">
        <v>13</v>
      </c>
      <c r="N54" s="461">
        <v>12</v>
      </c>
      <c r="O54" s="461">
        <v>12</v>
      </c>
      <c r="P54" s="461">
        <v>13</v>
      </c>
      <c r="Q54" s="465">
        <v>50</v>
      </c>
      <c r="R54" s="461">
        <v>23</v>
      </c>
      <c r="S54" s="461">
        <v>27</v>
      </c>
      <c r="T54" s="461">
        <v>49</v>
      </c>
      <c r="U54" s="461">
        <v>92</v>
      </c>
      <c r="V54" s="465">
        <v>191</v>
      </c>
      <c r="W54" s="141">
        <v>362</v>
      </c>
      <c r="X54" s="461">
        <v>335</v>
      </c>
      <c r="Y54" s="461">
        <v>242</v>
      </c>
      <c r="Z54" s="461">
        <v>242</v>
      </c>
      <c r="AA54" s="465">
        <v>1181</v>
      </c>
      <c r="AB54" s="461">
        <v>465</v>
      </c>
      <c r="AC54" s="461">
        <v>316</v>
      </c>
      <c r="AD54" s="461">
        <v>376</v>
      </c>
      <c r="AE54" s="461">
        <v>496</v>
      </c>
      <c r="AF54" s="465">
        <v>1653</v>
      </c>
    </row>
    <row r="55" spans="2:32">
      <c r="B55" s="954" t="str">
        <f>names!$A856</f>
        <v>Gaz ziemny</v>
      </c>
      <c r="C55" s="460">
        <v>110</v>
      </c>
      <c r="D55" s="460">
        <v>113</v>
      </c>
      <c r="E55" s="460">
        <v>111</v>
      </c>
      <c r="F55" s="460">
        <v>107</v>
      </c>
      <c r="G55" s="464">
        <v>441</v>
      </c>
      <c r="H55" s="460">
        <v>110</v>
      </c>
      <c r="I55" s="460">
        <v>122</v>
      </c>
      <c r="J55" s="460">
        <v>119</v>
      </c>
      <c r="K55" s="460">
        <v>112</v>
      </c>
      <c r="L55" s="464">
        <v>463</v>
      </c>
      <c r="M55" s="460">
        <v>102</v>
      </c>
      <c r="N55" s="460">
        <v>110</v>
      </c>
      <c r="O55" s="460">
        <v>101</v>
      </c>
      <c r="P55" s="460">
        <v>100</v>
      </c>
      <c r="Q55" s="464">
        <v>413</v>
      </c>
      <c r="R55" s="460">
        <v>94</v>
      </c>
      <c r="S55" s="460">
        <v>102</v>
      </c>
      <c r="T55" s="460">
        <v>130</v>
      </c>
      <c r="U55" s="460">
        <v>103</v>
      </c>
      <c r="V55" s="464">
        <v>429</v>
      </c>
      <c r="W55" s="139">
        <v>76</v>
      </c>
      <c r="X55" s="460">
        <v>85</v>
      </c>
      <c r="Y55" s="460">
        <v>82</v>
      </c>
      <c r="Z55" s="460">
        <v>87</v>
      </c>
      <c r="AA55" s="464">
        <v>330</v>
      </c>
      <c r="AB55" s="460">
        <v>80</v>
      </c>
      <c r="AC55" s="460">
        <v>86</v>
      </c>
      <c r="AD55" s="460">
        <v>88</v>
      </c>
      <c r="AE55" s="460">
        <v>88</v>
      </c>
      <c r="AF55" s="464">
        <v>342</v>
      </c>
    </row>
    <row r="56" spans="2:32">
      <c r="B56" s="954" t="str">
        <f>names!$A857</f>
        <v>NGL (Natural Gas Liquids)</v>
      </c>
      <c r="C56" s="460">
        <v>55</v>
      </c>
      <c r="D56" s="460">
        <v>47</v>
      </c>
      <c r="E56" s="460">
        <v>47</v>
      </c>
      <c r="F56" s="460">
        <v>50</v>
      </c>
      <c r="G56" s="464">
        <v>199</v>
      </c>
      <c r="H56" s="460">
        <v>55</v>
      </c>
      <c r="I56" s="460">
        <v>44</v>
      </c>
      <c r="J56" s="460">
        <v>38</v>
      </c>
      <c r="K56" s="460">
        <v>40</v>
      </c>
      <c r="L56" s="464">
        <v>177</v>
      </c>
      <c r="M56" s="460">
        <v>41</v>
      </c>
      <c r="N56" s="460">
        <v>52</v>
      </c>
      <c r="O56" s="460">
        <v>53</v>
      </c>
      <c r="P56" s="460">
        <v>45</v>
      </c>
      <c r="Q56" s="464">
        <v>191</v>
      </c>
      <c r="R56" s="460">
        <v>43</v>
      </c>
      <c r="S56" s="460">
        <v>50</v>
      </c>
      <c r="T56" s="460">
        <v>46</v>
      </c>
      <c r="U56" s="460">
        <v>64</v>
      </c>
      <c r="V56" s="464">
        <v>203</v>
      </c>
      <c r="W56" s="139">
        <v>58</v>
      </c>
      <c r="X56" s="460">
        <v>80</v>
      </c>
      <c r="Y56" s="460">
        <v>72</v>
      </c>
      <c r="Z56" s="460">
        <v>79</v>
      </c>
      <c r="AA56" s="464">
        <v>289</v>
      </c>
      <c r="AB56" s="460">
        <v>70</v>
      </c>
      <c r="AC56" s="460">
        <v>71</v>
      </c>
      <c r="AD56" s="460">
        <v>47</v>
      </c>
      <c r="AE56" s="460">
        <v>49</v>
      </c>
      <c r="AF56" s="464">
        <v>237</v>
      </c>
    </row>
    <row r="57" spans="2:32">
      <c r="B57" s="947" t="str">
        <f>names!$A858</f>
        <v>Gaz LNG</v>
      </c>
      <c r="C57" s="459">
        <v>0</v>
      </c>
      <c r="D57" s="459">
        <v>0</v>
      </c>
      <c r="E57" s="459">
        <v>0</v>
      </c>
      <c r="F57" s="459">
        <v>0</v>
      </c>
      <c r="G57" s="463">
        <v>0</v>
      </c>
      <c r="H57" s="459">
        <v>0</v>
      </c>
      <c r="I57" s="459">
        <v>0</v>
      </c>
      <c r="J57" s="459">
        <v>0</v>
      </c>
      <c r="K57" s="459">
        <v>0</v>
      </c>
      <c r="L57" s="463">
        <v>0</v>
      </c>
      <c r="M57" s="459">
        <v>0</v>
      </c>
      <c r="N57" s="459">
        <v>0</v>
      </c>
      <c r="O57" s="459">
        <v>0</v>
      </c>
      <c r="P57" s="459">
        <v>0</v>
      </c>
      <c r="Q57" s="463">
        <v>0</v>
      </c>
      <c r="R57" s="459">
        <v>0</v>
      </c>
      <c r="S57" s="459">
        <v>0</v>
      </c>
      <c r="T57" s="459">
        <v>0</v>
      </c>
      <c r="U57" s="459">
        <v>3</v>
      </c>
      <c r="V57" s="463">
        <v>3</v>
      </c>
      <c r="W57" s="138">
        <v>4</v>
      </c>
      <c r="X57" s="459">
        <v>4</v>
      </c>
      <c r="Y57" s="459">
        <v>4</v>
      </c>
      <c r="Z57" s="459">
        <v>4</v>
      </c>
      <c r="AA57" s="463">
        <v>16</v>
      </c>
      <c r="AB57" s="459">
        <v>4</v>
      </c>
      <c r="AC57" s="459">
        <v>3</v>
      </c>
      <c r="AD57" s="459">
        <v>4</v>
      </c>
      <c r="AE57" s="459">
        <v>4</v>
      </c>
      <c r="AF57" s="463">
        <v>15</v>
      </c>
    </row>
    <row r="58" spans="2:32">
      <c r="B58" s="954" t="str">
        <f>names!$A859</f>
        <v>Pozostałe</v>
      </c>
      <c r="C58" s="460">
        <v>0</v>
      </c>
      <c r="D58" s="460">
        <v>0</v>
      </c>
      <c r="E58" s="460">
        <v>0</v>
      </c>
      <c r="F58" s="460">
        <v>0</v>
      </c>
      <c r="G58" s="464">
        <v>0</v>
      </c>
      <c r="H58" s="460">
        <v>0</v>
      </c>
      <c r="I58" s="460">
        <v>0</v>
      </c>
      <c r="J58" s="460">
        <v>0</v>
      </c>
      <c r="K58" s="460">
        <v>0</v>
      </c>
      <c r="L58" s="464">
        <v>0</v>
      </c>
      <c r="M58" s="460">
        <v>0</v>
      </c>
      <c r="N58" s="460">
        <v>0</v>
      </c>
      <c r="O58" s="460">
        <v>0</v>
      </c>
      <c r="P58" s="460">
        <v>0</v>
      </c>
      <c r="Q58" s="464">
        <v>0</v>
      </c>
      <c r="R58" s="460">
        <v>0</v>
      </c>
      <c r="S58" s="460">
        <v>0</v>
      </c>
      <c r="T58" s="460">
        <v>0</v>
      </c>
      <c r="U58" s="460">
        <v>12</v>
      </c>
      <c r="V58" s="464">
        <v>12</v>
      </c>
      <c r="W58" s="139">
        <v>20</v>
      </c>
      <c r="X58" s="460">
        <v>17</v>
      </c>
      <c r="Y58" s="460">
        <v>11</v>
      </c>
      <c r="Z58" s="460">
        <v>17</v>
      </c>
      <c r="AA58" s="464">
        <v>65</v>
      </c>
      <c r="AB58" s="460">
        <v>43</v>
      </c>
      <c r="AC58" s="460">
        <v>32</v>
      </c>
      <c r="AD58" s="460">
        <v>33</v>
      </c>
      <c r="AE58" s="460">
        <f>38+2</f>
        <v>40</v>
      </c>
      <c r="AF58" s="464">
        <f>147+1</f>
        <v>148</v>
      </c>
    </row>
    <row r="59" spans="2:32" ht="6" customHeight="1" thickBot="1">
      <c r="B59" s="947"/>
      <c r="C59" s="459"/>
      <c r="D59" s="459"/>
      <c r="E59" s="459"/>
      <c r="F59" s="459"/>
      <c r="G59" s="463"/>
      <c r="H59" s="459"/>
      <c r="I59" s="459"/>
      <c r="J59" s="459"/>
      <c r="K59" s="459"/>
      <c r="L59" s="463"/>
      <c r="M59" s="459"/>
      <c r="N59" s="459"/>
      <c r="O59" s="459"/>
      <c r="P59" s="459"/>
      <c r="Q59" s="463"/>
      <c r="R59" s="459"/>
      <c r="S59" s="459"/>
      <c r="T59" s="459"/>
      <c r="U59" s="459"/>
      <c r="V59" s="463"/>
      <c r="W59" s="138"/>
      <c r="X59" s="459"/>
      <c r="Y59" s="459"/>
      <c r="Z59" s="459"/>
      <c r="AA59" s="463"/>
      <c r="AB59" s="138"/>
      <c r="AC59" s="459"/>
      <c r="AD59" s="459"/>
      <c r="AE59" s="459"/>
      <c r="AF59" s="463"/>
    </row>
    <row r="60" spans="2:32" ht="13.5" thickBot="1">
      <c r="B60" s="956" t="str">
        <f>names!$A861</f>
        <v>Segment Gaz</v>
      </c>
      <c r="C60" s="134">
        <f>SUM(C61)</f>
        <v>0</v>
      </c>
      <c r="D60" s="134">
        <f t="shared" ref="D60:AC60" si="22">SUM(D61)</f>
        <v>0</v>
      </c>
      <c r="E60" s="134">
        <f t="shared" si="22"/>
        <v>0</v>
      </c>
      <c r="F60" s="134">
        <f t="shared" si="22"/>
        <v>0</v>
      </c>
      <c r="G60" s="185">
        <f t="shared" si="22"/>
        <v>0</v>
      </c>
      <c r="H60" s="168">
        <f t="shared" si="22"/>
        <v>0</v>
      </c>
      <c r="I60" s="134">
        <f t="shared" si="22"/>
        <v>0</v>
      </c>
      <c r="J60" s="134">
        <f t="shared" si="22"/>
        <v>0</v>
      </c>
      <c r="K60" s="134">
        <f t="shared" si="22"/>
        <v>0</v>
      </c>
      <c r="L60" s="185">
        <f t="shared" si="22"/>
        <v>0</v>
      </c>
      <c r="M60" s="134">
        <f t="shared" si="22"/>
        <v>0</v>
      </c>
      <c r="N60" s="134">
        <f t="shared" si="22"/>
        <v>0</v>
      </c>
      <c r="O60" s="134">
        <f t="shared" si="22"/>
        <v>0</v>
      </c>
      <c r="P60" s="134">
        <f t="shared" si="22"/>
        <v>0</v>
      </c>
      <c r="Q60" s="185">
        <f t="shared" si="22"/>
        <v>0</v>
      </c>
      <c r="R60" s="168">
        <f t="shared" si="22"/>
        <v>0</v>
      </c>
      <c r="S60" s="168">
        <f t="shared" si="22"/>
        <v>0</v>
      </c>
      <c r="T60" s="168">
        <f t="shared" si="22"/>
        <v>0</v>
      </c>
      <c r="U60" s="168">
        <f t="shared" si="22"/>
        <v>191</v>
      </c>
      <c r="V60" s="185">
        <f t="shared" si="22"/>
        <v>191</v>
      </c>
      <c r="W60" s="631">
        <f t="shared" si="22"/>
        <v>30</v>
      </c>
      <c r="X60" s="168">
        <f t="shared" si="22"/>
        <v>32</v>
      </c>
      <c r="Y60" s="168">
        <f t="shared" si="22"/>
        <v>36</v>
      </c>
      <c r="Z60" s="168">
        <f t="shared" si="22"/>
        <v>52</v>
      </c>
      <c r="AA60" s="185">
        <f t="shared" si="22"/>
        <v>150</v>
      </c>
      <c r="AB60" s="168">
        <f t="shared" si="22"/>
        <v>53</v>
      </c>
      <c r="AC60" s="168">
        <f t="shared" si="22"/>
        <v>45</v>
      </c>
      <c r="AD60" s="168">
        <f>SUM(AD61:AD62)</f>
        <v>61</v>
      </c>
      <c r="AE60" s="168">
        <f t="shared" ref="AE60:AF60" si="23">SUM(AE61:AE62)</f>
        <v>59</v>
      </c>
      <c r="AF60" s="185">
        <f t="shared" si="23"/>
        <v>218</v>
      </c>
    </row>
    <row r="61" spans="2:32">
      <c r="B61" s="957" t="str">
        <f>names!$A862</f>
        <v>Gaz LNG</v>
      </c>
      <c r="C61" s="461">
        <v>0</v>
      </c>
      <c r="D61" s="461">
        <v>0</v>
      </c>
      <c r="E61" s="461">
        <v>0</v>
      </c>
      <c r="F61" s="461">
        <v>0</v>
      </c>
      <c r="G61" s="465">
        <v>0</v>
      </c>
      <c r="H61" s="461">
        <v>0</v>
      </c>
      <c r="I61" s="461">
        <v>0</v>
      </c>
      <c r="J61" s="461">
        <v>0</v>
      </c>
      <c r="K61" s="461">
        <v>0</v>
      </c>
      <c r="L61" s="465">
        <v>0</v>
      </c>
      <c r="M61" s="461">
        <v>0</v>
      </c>
      <c r="N61" s="461">
        <v>0</v>
      </c>
      <c r="O61" s="461">
        <v>0</v>
      </c>
      <c r="P61" s="461">
        <v>0</v>
      </c>
      <c r="Q61" s="465">
        <v>0</v>
      </c>
      <c r="R61" s="461">
        <v>0</v>
      </c>
      <c r="S61" s="461">
        <v>0</v>
      </c>
      <c r="T61" s="461">
        <v>0</v>
      </c>
      <c r="U61" s="461">
        <v>191</v>
      </c>
      <c r="V61" s="465">
        <v>191</v>
      </c>
      <c r="W61" s="141">
        <v>30</v>
      </c>
      <c r="X61" s="461">
        <v>32</v>
      </c>
      <c r="Y61" s="461">
        <v>36</v>
      </c>
      <c r="Z61" s="461">
        <v>52</v>
      </c>
      <c r="AA61" s="465">
        <v>150</v>
      </c>
      <c r="AB61" s="141">
        <v>53</v>
      </c>
      <c r="AC61" s="461">
        <v>45</v>
      </c>
      <c r="AD61" s="461">
        <v>46</v>
      </c>
      <c r="AE61" s="461">
        <v>55</v>
      </c>
      <c r="AF61" s="465">
        <v>199</v>
      </c>
    </row>
    <row r="62" spans="2:32">
      <c r="B62" s="947" t="str">
        <f>names!$A863</f>
        <v>LPG</v>
      </c>
      <c r="C62" s="459">
        <v>0</v>
      </c>
      <c r="D62" s="459">
        <v>0</v>
      </c>
      <c r="E62" s="459">
        <v>0</v>
      </c>
      <c r="F62" s="459">
        <v>0</v>
      </c>
      <c r="G62" s="463">
        <v>0</v>
      </c>
      <c r="H62" s="459">
        <v>0</v>
      </c>
      <c r="I62" s="459">
        <v>0</v>
      </c>
      <c r="J62" s="459">
        <v>0</v>
      </c>
      <c r="K62" s="459">
        <v>0</v>
      </c>
      <c r="L62" s="463">
        <v>0</v>
      </c>
      <c r="M62" s="459">
        <v>0</v>
      </c>
      <c r="N62" s="459">
        <v>0</v>
      </c>
      <c r="O62" s="459">
        <v>0</v>
      </c>
      <c r="P62" s="459">
        <v>0</v>
      </c>
      <c r="Q62" s="463">
        <v>0</v>
      </c>
      <c r="R62" s="459">
        <v>0</v>
      </c>
      <c r="S62" s="459">
        <v>0</v>
      </c>
      <c r="T62" s="459">
        <v>0</v>
      </c>
      <c r="U62" s="459">
        <v>0</v>
      </c>
      <c r="V62" s="463">
        <v>0</v>
      </c>
      <c r="W62" s="138">
        <v>0</v>
      </c>
      <c r="X62" s="459">
        <v>0</v>
      </c>
      <c r="Y62" s="459">
        <v>0</v>
      </c>
      <c r="Z62" s="459">
        <v>0</v>
      </c>
      <c r="AA62" s="463">
        <v>0</v>
      </c>
      <c r="AB62" s="138">
        <v>0</v>
      </c>
      <c r="AC62" s="459">
        <v>0</v>
      </c>
      <c r="AD62" s="459">
        <v>15</v>
      </c>
      <c r="AE62" s="459">
        <v>4</v>
      </c>
      <c r="AF62" s="463">
        <v>19</v>
      </c>
    </row>
    <row r="63" spans="2:32" ht="6" customHeight="1" thickBot="1">
      <c r="B63" s="952"/>
      <c r="C63" s="459"/>
      <c r="D63" s="459"/>
      <c r="E63" s="459"/>
      <c r="F63" s="459"/>
      <c r="G63" s="463"/>
      <c r="H63" s="459"/>
      <c r="I63" s="459"/>
      <c r="J63" s="459"/>
      <c r="K63" s="459"/>
      <c r="L63" s="463"/>
      <c r="M63" s="459"/>
      <c r="N63" s="459"/>
      <c r="O63" s="459"/>
      <c r="P63" s="459"/>
      <c r="Q63" s="463"/>
      <c r="R63" s="459"/>
      <c r="S63" s="459"/>
      <c r="T63" s="459"/>
      <c r="U63" s="459"/>
      <c r="V63" s="463"/>
      <c r="W63" s="138"/>
      <c r="X63" s="459"/>
      <c r="Y63" s="459"/>
      <c r="Z63" s="459"/>
      <c r="AA63" s="463"/>
      <c r="AB63" s="138"/>
      <c r="AC63" s="459"/>
      <c r="AD63" s="459"/>
      <c r="AE63" s="459"/>
      <c r="AF63" s="463"/>
    </row>
    <row r="64" spans="2:32" ht="13.5" outlineLevel="1" thickBot="1">
      <c r="B64" s="956" t="str">
        <f>names!$A865</f>
        <v>GK ORLEN - razem</v>
      </c>
      <c r="C64" s="168">
        <f>C7+C21+C44+C53+C60</f>
        <v>10221</v>
      </c>
      <c r="D64" s="168">
        <f t="shared" ref="D64:AF64" si="24">D7+D21+D44+D53+D60</f>
        <v>10768</v>
      </c>
      <c r="E64" s="168">
        <f t="shared" si="24"/>
        <v>11431</v>
      </c>
      <c r="F64" s="168">
        <f t="shared" si="24"/>
        <v>10873</v>
      </c>
      <c r="G64" s="185">
        <f t="shared" si="24"/>
        <v>43293</v>
      </c>
      <c r="H64" s="168">
        <f t="shared" si="24"/>
        <v>9416</v>
      </c>
      <c r="I64" s="168">
        <f t="shared" si="24"/>
        <v>8483</v>
      </c>
      <c r="J64" s="168">
        <f t="shared" si="24"/>
        <v>10467</v>
      </c>
      <c r="K64" s="168">
        <f t="shared" si="24"/>
        <v>9894</v>
      </c>
      <c r="L64" s="185">
        <f t="shared" si="24"/>
        <v>38260</v>
      </c>
      <c r="M64" s="168">
        <f t="shared" si="24"/>
        <v>8397</v>
      </c>
      <c r="N64" s="168">
        <f t="shared" si="24"/>
        <v>9259</v>
      </c>
      <c r="O64" s="168">
        <f t="shared" si="24"/>
        <v>10703</v>
      </c>
      <c r="P64" s="168">
        <f t="shared" si="24"/>
        <v>10564</v>
      </c>
      <c r="Q64" s="185">
        <f t="shared" si="24"/>
        <v>38923</v>
      </c>
      <c r="R64" s="168">
        <f t="shared" si="24"/>
        <v>9644</v>
      </c>
      <c r="S64" s="168">
        <f t="shared" si="24"/>
        <v>9792</v>
      </c>
      <c r="T64" s="168">
        <f t="shared" si="24"/>
        <v>12822</v>
      </c>
      <c r="U64" s="168">
        <f t="shared" si="24"/>
        <v>13594</v>
      </c>
      <c r="V64" s="185">
        <f t="shared" si="24"/>
        <v>45852</v>
      </c>
      <c r="W64" s="631">
        <f t="shared" si="24"/>
        <v>11267</v>
      </c>
      <c r="X64" s="168">
        <f t="shared" si="24"/>
        <v>12184</v>
      </c>
      <c r="Y64" s="168">
        <f t="shared" si="24"/>
        <v>13164</v>
      </c>
      <c r="Z64" s="168">
        <f t="shared" si="24"/>
        <v>12941</v>
      </c>
      <c r="AA64" s="185">
        <f t="shared" si="24"/>
        <v>49556</v>
      </c>
      <c r="AB64" s="631">
        <f t="shared" si="24"/>
        <v>11866</v>
      </c>
      <c r="AC64" s="168">
        <f t="shared" si="24"/>
        <v>12550</v>
      </c>
      <c r="AD64" s="168">
        <f t="shared" si="24"/>
        <v>13115</v>
      </c>
      <c r="AE64" s="168">
        <f t="shared" si="24"/>
        <v>12588</v>
      </c>
      <c r="AF64" s="185">
        <f t="shared" si="24"/>
        <v>50119</v>
      </c>
    </row>
    <row r="65" spans="2:32">
      <c r="B65" s="744" t="str">
        <f>names!$A866</f>
        <v>*) Dane przekształcone.</v>
      </c>
      <c r="C65" s="6"/>
      <c r="D65" s="6"/>
      <c r="E65" s="6"/>
      <c r="F65" s="6"/>
      <c r="G65" s="749"/>
      <c r="H65" s="749"/>
      <c r="I65" s="749"/>
      <c r="J65" s="749"/>
      <c r="K65" s="749"/>
      <c r="L65" s="749"/>
      <c r="M65" s="749"/>
      <c r="N65" s="749"/>
      <c r="O65" s="749"/>
      <c r="P65" s="749"/>
      <c r="Q65" s="749"/>
      <c r="R65" s="749"/>
      <c r="S65" s="749"/>
      <c r="T65" s="749"/>
      <c r="U65" s="749"/>
      <c r="V65" s="749"/>
      <c r="W65" s="749"/>
      <c r="X65" s="749"/>
      <c r="Y65" s="749"/>
      <c r="Z65" s="749"/>
      <c r="AA65" s="749"/>
      <c r="AB65" s="749"/>
      <c r="AC65" s="749"/>
      <c r="AD65" s="749"/>
      <c r="AE65" s="749"/>
      <c r="AF65" s="749"/>
    </row>
    <row r="66" spans="2:32">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row>
    <row r="67" spans="2:32">
      <c r="B67" s="577"/>
      <c r="C67" s="577"/>
      <c r="D67" s="577"/>
      <c r="E67" s="577"/>
      <c r="F67" s="577"/>
      <c r="G67" s="577"/>
      <c r="H67" s="577"/>
      <c r="I67" s="577"/>
      <c r="J67" s="577"/>
      <c r="K67" s="577"/>
      <c r="L67" s="577"/>
      <c r="M67" s="577"/>
      <c r="N67" s="577"/>
      <c r="O67" s="577"/>
      <c r="P67" s="577"/>
      <c r="Q67" s="577"/>
      <c r="R67" s="577"/>
      <c r="S67" s="577"/>
      <c r="T67" s="577"/>
      <c r="U67" s="577"/>
      <c r="V67" s="577"/>
      <c r="W67" s="577"/>
      <c r="X67" s="577"/>
      <c r="Y67" s="577"/>
      <c r="Z67" s="577"/>
      <c r="AA67" s="577"/>
      <c r="AB67" s="577"/>
      <c r="AC67" s="577"/>
      <c r="AD67" s="577"/>
      <c r="AE67" s="577"/>
      <c r="AF67" s="577"/>
    </row>
    <row r="68" spans="2:32">
      <c r="B68" s="169"/>
      <c r="C68" s="6"/>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row>
    <row r="69" spans="2:32">
      <c r="C69" s="6"/>
      <c r="D69" s="6"/>
      <c r="E69" s="6"/>
      <c r="F69" s="6"/>
      <c r="G69" s="6"/>
      <c r="H69" s="6"/>
      <c r="I69" s="6"/>
      <c r="J69" s="6"/>
      <c r="K69" s="6"/>
      <c r="L69" s="6"/>
      <c r="M69" s="6"/>
      <c r="N69" s="6"/>
      <c r="O69" s="6"/>
      <c r="P69" s="6"/>
      <c r="Q69" s="6"/>
      <c r="R69" s="6"/>
      <c r="W69" s="6"/>
      <c r="AB69" s="6"/>
    </row>
    <row r="70" spans="2:32">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row>
    <row r="71" spans="2:32">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row>
    <row r="72" spans="2:32">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row>
    <row r="73" spans="2:32">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row>
    <row r="74" spans="2:32">
      <c r="C74" s="6"/>
      <c r="D74" s="6"/>
      <c r="E74" s="6"/>
      <c r="F74" s="6"/>
      <c r="G74" s="6"/>
      <c r="H74" s="6"/>
      <c r="M74" s="6"/>
      <c r="R74" s="6"/>
      <c r="W74" s="6"/>
      <c r="AB74" s="6"/>
    </row>
    <row r="75" spans="2:32">
      <c r="C75" s="6"/>
      <c r="D75" s="6"/>
      <c r="E75" s="6"/>
      <c r="F75" s="6"/>
      <c r="G75" s="6"/>
      <c r="H75" s="6"/>
      <c r="M75" s="6"/>
      <c r="R75" s="6"/>
      <c r="W75" s="6"/>
      <c r="AB75" s="6"/>
    </row>
    <row r="76" spans="2:32">
      <c r="C76" s="6"/>
      <c r="D76" s="6"/>
      <c r="E76" s="6"/>
      <c r="F76" s="6"/>
      <c r="G76" s="6"/>
      <c r="H76" s="6"/>
      <c r="M76" s="6"/>
      <c r="R76" s="6"/>
      <c r="W76" s="6"/>
      <c r="AB76" s="6"/>
    </row>
    <row r="78" spans="2:32">
      <c r="C78" s="467"/>
      <c r="D78" s="467"/>
      <c r="E78" s="467"/>
      <c r="F78" s="467"/>
      <c r="G78" s="467"/>
      <c r="H78" s="467"/>
      <c r="M78" s="467"/>
      <c r="R78" s="467"/>
      <c r="W78" s="467"/>
      <c r="AB78" s="467"/>
    </row>
    <row r="79" spans="2:32">
      <c r="C79" s="467"/>
      <c r="D79" s="467"/>
      <c r="E79" s="467"/>
      <c r="F79" s="467"/>
      <c r="G79" s="467"/>
      <c r="H79" s="467"/>
      <c r="M79" s="467"/>
      <c r="R79" s="467"/>
      <c r="W79" s="467"/>
      <c r="AB79" s="467"/>
    </row>
    <row r="80" spans="2:32">
      <c r="C80" s="467"/>
      <c r="D80" s="467"/>
      <c r="E80" s="467"/>
      <c r="F80" s="467"/>
      <c r="G80" s="467"/>
      <c r="H80" s="467"/>
      <c r="M80" s="467"/>
      <c r="R80" s="467"/>
      <c r="W80" s="467"/>
      <c r="AB80" s="467"/>
    </row>
    <row r="81" spans="3:28">
      <c r="C81" s="467"/>
      <c r="D81" s="467"/>
      <c r="E81" s="467"/>
      <c r="F81" s="467"/>
      <c r="G81" s="467"/>
      <c r="H81" s="467"/>
      <c r="M81" s="467"/>
      <c r="R81" s="467"/>
      <c r="W81" s="467"/>
      <c r="AB81" s="467"/>
    </row>
    <row r="82" spans="3:28">
      <c r="C82" s="467"/>
      <c r="D82" s="467"/>
      <c r="E82" s="467"/>
      <c r="F82" s="467"/>
      <c r="G82" s="467"/>
      <c r="H82" s="467"/>
      <c r="M82" s="467"/>
      <c r="R82" s="467"/>
      <c r="W82" s="467"/>
      <c r="AB82" s="467"/>
    </row>
    <row r="83" spans="3:28">
      <c r="C83" s="467"/>
      <c r="D83" s="467"/>
      <c r="E83" s="467"/>
      <c r="F83" s="467"/>
      <c r="G83" s="467"/>
      <c r="H83" s="467"/>
      <c r="M83" s="467"/>
      <c r="R83" s="467"/>
      <c r="W83" s="467"/>
      <c r="AB83" s="467"/>
    </row>
    <row r="85" spans="3:28">
      <c r="C85" s="467"/>
      <c r="D85" s="467"/>
      <c r="E85" s="467"/>
      <c r="F85" s="467"/>
      <c r="G85" s="467"/>
      <c r="H85" s="467"/>
      <c r="M85" s="467"/>
      <c r="R85" s="467"/>
      <c r="W85" s="467"/>
      <c r="AB85" s="467"/>
    </row>
    <row r="86" spans="3:28">
      <c r="C86" s="467"/>
      <c r="D86" s="467"/>
      <c r="E86" s="467"/>
      <c r="F86" s="467"/>
      <c r="G86" s="467"/>
      <c r="H86" s="467"/>
      <c r="M86" s="467"/>
      <c r="R86" s="467"/>
      <c r="W86" s="467"/>
      <c r="AB86" s="467"/>
    </row>
    <row r="87" spans="3:28">
      <c r="C87" s="467"/>
      <c r="D87" s="467"/>
      <c r="E87" s="467"/>
      <c r="F87" s="467"/>
      <c r="G87" s="467"/>
      <c r="H87" s="467"/>
      <c r="M87" s="467"/>
      <c r="R87" s="467"/>
      <c r="W87" s="467"/>
      <c r="AB87" s="467"/>
    </row>
    <row r="89" spans="3:28">
      <c r="C89" s="467"/>
      <c r="D89" s="467"/>
      <c r="E89" s="467"/>
      <c r="F89" s="467"/>
      <c r="G89" s="467"/>
      <c r="H89" s="467"/>
      <c r="M89" s="467"/>
      <c r="R89" s="467"/>
      <c r="W89" s="467"/>
      <c r="AB89" s="467"/>
    </row>
    <row r="91" spans="3:28">
      <c r="C91" s="467"/>
      <c r="D91" s="467"/>
      <c r="E91" s="467"/>
      <c r="F91" s="467"/>
      <c r="G91" s="467"/>
      <c r="H91" s="467"/>
      <c r="M91" s="467"/>
      <c r="R91" s="467"/>
      <c r="W91" s="467"/>
      <c r="AB91" s="467"/>
    </row>
  </sheetData>
  <conditionalFormatting sqref="B67:AF67">
    <cfRule type="cellIs" dxfId="5" priority="2" operator="equal">
      <formula>FALSE</formula>
    </cfRule>
  </conditionalFormatting>
  <printOptions horizontalCentered="1"/>
  <pageMargins left="0.70866141732283472" right="0.70866141732283472" top="0.74803149606299213" bottom="0.74803149606299213" header="0.31496062992125984" footer="0.31496062992125984"/>
  <pageSetup paperSize="9" scale="62"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0.34998626667073579"/>
    <pageSetUpPr fitToPage="1"/>
  </sheetPr>
  <dimension ref="A2:W83"/>
  <sheetViews>
    <sheetView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outlineLevelCol="1"/>
  <cols>
    <col min="1" max="1" width="1.28515625" customWidth="1"/>
    <col min="2" max="2" width="49.5703125" customWidth="1"/>
    <col min="3" max="3" width="8.28515625" hidden="1" customWidth="1" outlineLevel="1"/>
    <col min="4" max="6" width="9.42578125" hidden="1" customWidth="1" outlineLevel="1"/>
    <col min="7" max="7" width="9.42578125" collapsed="1"/>
    <col min="8" max="8" width="8.28515625" hidden="1" customWidth="1" outlineLevel="1"/>
    <col min="9" max="11" width="9.42578125" hidden="1" customWidth="1" outlineLevel="1"/>
    <col min="12" max="12" width="9.42578125" customWidth="1" collapsed="1"/>
    <col min="13" max="13" width="8.28515625" hidden="1" customWidth="1" outlineLevel="1"/>
    <col min="14" max="16" width="9.42578125" hidden="1" customWidth="1" outlineLevel="1"/>
    <col min="17" max="17" width="9.42578125" customWidth="1" collapsed="1"/>
    <col min="18" max="18" width="0" hidden="1" customWidth="1" outlineLevel="1"/>
    <col min="19" max="21" width="9.42578125" hidden="1" customWidth="1" outlineLevel="1"/>
    <col min="22" max="22" width="9.42578125" customWidth="1" collapsed="1"/>
  </cols>
  <sheetData>
    <row r="2" spans="1:23" ht="15.75">
      <c r="A2" s="750"/>
      <c r="B2" s="751" t="str">
        <f>names!A1964</f>
        <v>Wybrane dane operacyjne dla segmentu Energetyka, Wydobycie oraz Gaz</v>
      </c>
      <c r="C2" s="750"/>
      <c r="D2" s="750"/>
      <c r="E2" s="750"/>
      <c r="F2" s="750"/>
      <c r="G2" s="750"/>
      <c r="H2" s="750"/>
      <c r="I2" s="750"/>
      <c r="J2" s="750"/>
      <c r="K2" s="750"/>
      <c r="L2" s="750"/>
      <c r="M2" s="750"/>
      <c r="N2" s="750"/>
      <c r="O2" s="750"/>
      <c r="P2" s="750"/>
      <c r="Q2" s="750"/>
      <c r="R2" s="750"/>
      <c r="S2" s="750"/>
      <c r="T2" s="750"/>
      <c r="U2" s="750"/>
      <c r="V2" s="750"/>
      <c r="W2" s="577"/>
    </row>
    <row r="3" spans="1:23" ht="10.15" customHeight="1">
      <c r="A3" s="750"/>
      <c r="B3" s="752"/>
      <c r="C3" s="750"/>
      <c r="D3" s="750"/>
      <c r="E3" s="750"/>
      <c r="F3" s="750"/>
      <c r="G3" s="750"/>
      <c r="H3" s="750"/>
      <c r="I3" s="753"/>
      <c r="J3" s="750"/>
      <c r="K3" s="750"/>
      <c r="L3" s="750"/>
      <c r="M3" s="750"/>
      <c r="N3" s="750"/>
      <c r="O3" s="750"/>
      <c r="P3" s="750"/>
      <c r="Q3" s="750"/>
      <c r="R3" s="750"/>
      <c r="S3" s="750"/>
      <c r="T3" s="750"/>
      <c r="U3" s="750"/>
      <c r="V3" s="750"/>
      <c r="W3" s="577"/>
    </row>
    <row r="4" spans="1:23" ht="26.25" customHeight="1">
      <c r="B4" s="15" t="str">
        <f>names!A1966</f>
        <v>Wyszczególnienie</v>
      </c>
      <c r="C4" s="15" t="str">
        <f>names!$A531</f>
        <v>I kw.
2019</v>
      </c>
      <c r="D4" s="15" t="str">
        <f>names!$A532</f>
        <v>II kw.
2019</v>
      </c>
      <c r="E4" s="15" t="str">
        <f>names!$A533</f>
        <v>III kw.
2019</v>
      </c>
      <c r="F4" s="15" t="str">
        <f>names!$A534</f>
        <v>IV kw.
2019</v>
      </c>
      <c r="G4" s="15" t="str">
        <f>names!$A535</f>
        <v>12 m-cy
2019</v>
      </c>
      <c r="H4" s="15" t="str">
        <f>names!$A612</f>
        <v>I kw.
2020</v>
      </c>
      <c r="I4" s="15" t="str">
        <f>names!$A613</f>
        <v>II kw.
2020*</v>
      </c>
      <c r="J4" s="15" t="str">
        <f>names!$A614</f>
        <v>III kw.
2020</v>
      </c>
      <c r="K4" s="15" t="str">
        <f>names!$A615</f>
        <v>IV kw.
2020</v>
      </c>
      <c r="L4" s="15" t="str">
        <f>names!$A616</f>
        <v>12 m-cy
2020</v>
      </c>
      <c r="M4" s="15" t="str">
        <f>names!$A2039</f>
        <v>I kw. 
2021</v>
      </c>
      <c r="N4" s="15" t="str">
        <f>names!$A2040</f>
        <v>II kw. 
2021</v>
      </c>
      <c r="O4" s="15" t="str">
        <f>names!$A2041</f>
        <v>III kw. 
2021</v>
      </c>
      <c r="P4" s="15" t="str">
        <f>names!$A2042</f>
        <v>IV kw. 
2021</v>
      </c>
      <c r="Q4" s="15" t="str">
        <f>names!$A2043</f>
        <v>12 m-cy 2021</v>
      </c>
      <c r="R4" s="15" t="str">
        <f>names!$A2044</f>
        <v>I kw. 
2022</v>
      </c>
      <c r="S4" s="15" t="str">
        <f>names!$A2045</f>
        <v>II kw. 
2022</v>
      </c>
      <c r="T4" s="15" t="str">
        <f>names!$A2046</f>
        <v>III kw. 
2022*</v>
      </c>
      <c r="U4" s="15" t="str">
        <f>names!$A2047</f>
        <v>IV kw. 
2022</v>
      </c>
      <c r="V4" s="15" t="str">
        <f>names!$A2048</f>
        <v>12 m-cy 2022</v>
      </c>
      <c r="W4" s="577"/>
    </row>
    <row r="5" spans="1:23" s="29" customFormat="1" ht="7.15" customHeight="1" thickBot="1">
      <c r="A5" s="759"/>
      <c r="B5" s="760"/>
      <c r="C5" s="761"/>
      <c r="D5" s="761"/>
      <c r="E5" s="761"/>
      <c r="F5" s="761"/>
      <c r="G5" s="761"/>
      <c r="H5" s="761"/>
      <c r="I5" s="761"/>
      <c r="J5" s="761"/>
      <c r="K5" s="761"/>
      <c r="L5" s="761"/>
      <c r="M5" s="761"/>
      <c r="N5" s="761"/>
      <c r="O5" s="761"/>
      <c r="P5" s="761"/>
      <c r="Q5" s="761"/>
      <c r="R5" s="761"/>
      <c r="S5" s="761"/>
      <c r="T5" s="761"/>
      <c r="U5" s="761"/>
      <c r="V5" s="761"/>
      <c r="W5" s="577"/>
    </row>
    <row r="6" spans="1:23" s="5" customFormat="1" ht="12" thickBot="1">
      <c r="A6" s="752"/>
      <c r="B6" s="755" t="str">
        <f>names!A1968</f>
        <v>Segment Energetyka</v>
      </c>
      <c r="C6" s="756"/>
      <c r="D6" s="756"/>
      <c r="E6" s="756"/>
      <c r="F6" s="756"/>
      <c r="G6" s="265"/>
      <c r="H6" s="756"/>
      <c r="I6" s="756"/>
      <c r="J6" s="756"/>
      <c r="K6" s="756"/>
      <c r="L6" s="265"/>
      <c r="M6" s="756"/>
      <c r="N6" s="756"/>
      <c r="O6" s="756"/>
      <c r="P6" s="756"/>
      <c r="Q6" s="265"/>
      <c r="R6" s="756"/>
      <c r="S6" s="756"/>
      <c r="T6" s="756"/>
      <c r="U6" s="756"/>
      <c r="V6" s="265"/>
      <c r="W6" s="577"/>
    </row>
    <row r="7" spans="1:23" s="5" customFormat="1" ht="13.5" customHeight="1">
      <c r="B7" s="115" t="str">
        <f>names!A1969</f>
        <v>Dystrybucja energii elektrycznej - wolumen dostarczonej energii (TWh)</v>
      </c>
      <c r="C7" s="657" t="s">
        <v>249</v>
      </c>
      <c r="D7" s="657" t="s">
        <v>249</v>
      </c>
      <c r="E7" s="657" t="s">
        <v>249</v>
      </c>
      <c r="F7" s="657" t="s">
        <v>249</v>
      </c>
      <c r="G7" s="658" t="s">
        <v>249</v>
      </c>
      <c r="H7" s="657" t="s">
        <v>249</v>
      </c>
      <c r="I7" s="657">
        <v>3.334022298481738</v>
      </c>
      <c r="J7" s="657">
        <v>5.4425645877685245</v>
      </c>
      <c r="K7" s="657">
        <v>5.6523033066083848</v>
      </c>
      <c r="L7" s="658">
        <v>14.428890192858647</v>
      </c>
      <c r="M7" s="657">
        <v>5.8063362175711148</v>
      </c>
      <c r="N7" s="657">
        <v>5.7609343027521653</v>
      </c>
      <c r="O7" s="657">
        <v>5.6269158801597783</v>
      </c>
      <c r="P7" s="657">
        <v>5.8796380231051524</v>
      </c>
      <c r="Q7" s="658">
        <v>23.07382442358821</v>
      </c>
      <c r="R7" s="657">
        <v>6.2107093409599079</v>
      </c>
      <c r="S7" s="657">
        <v>5.6682714770132518</v>
      </c>
      <c r="T7" s="657">
        <v>5.6039966090486271</v>
      </c>
      <c r="U7" s="657">
        <v>5.8174258478801448</v>
      </c>
      <c r="V7" s="658">
        <v>23.300403274901932</v>
      </c>
      <c r="W7" s="577"/>
    </row>
    <row r="8" spans="1:23" s="5" customFormat="1" ht="13.5" customHeight="1">
      <c r="B8" s="115" t="str">
        <f>names!A1970</f>
        <v>Sprzedaż energii elektrycznej na rynku detalicznym (TWh)</v>
      </c>
      <c r="C8" s="657">
        <v>0.30570117300000005</v>
      </c>
      <c r="D8" s="657">
        <v>0.26196924999999999</v>
      </c>
      <c r="E8" s="657">
        <v>0.24682058500000004</v>
      </c>
      <c r="F8" s="657">
        <v>0.27348965799999997</v>
      </c>
      <c r="G8" s="658">
        <v>1.087980666</v>
      </c>
      <c r="H8" s="657">
        <v>0.29449907049999985</v>
      </c>
      <c r="I8" s="657">
        <v>3.2329777792119994</v>
      </c>
      <c r="J8" s="657">
        <v>4.8981233935630009</v>
      </c>
      <c r="K8" s="657">
        <v>5.1552970126900028</v>
      </c>
      <c r="L8" s="658">
        <v>13.580897255965002</v>
      </c>
      <c r="M8" s="657">
        <v>5.194316112718</v>
      </c>
      <c r="N8" s="657">
        <v>4.6130896964599994</v>
      </c>
      <c r="O8" s="657">
        <v>4.6900184980709998</v>
      </c>
      <c r="P8" s="657">
        <v>5.1826692585090015</v>
      </c>
      <c r="Q8" s="658">
        <v>19.680093565758</v>
      </c>
      <c r="R8" s="657">
        <v>4.9325050902699568</v>
      </c>
      <c r="S8" s="657">
        <v>4.4429845475369767</v>
      </c>
      <c r="T8" s="657">
        <v>4.4960011511490023</v>
      </c>
      <c r="U8" s="657">
        <v>6.2143911198279964</v>
      </c>
      <c r="V8" s="658">
        <v>20.085881908783932</v>
      </c>
      <c r="W8" s="577"/>
    </row>
    <row r="9" spans="1:23" s="5" customFormat="1" ht="13.5" customHeight="1">
      <c r="B9" s="115" t="str">
        <f>names!A1971</f>
        <v>Sprzedaż energii elektrycznej na rynku hurtowym (TWh)</v>
      </c>
      <c r="C9" s="657">
        <v>0.71808754799999996</v>
      </c>
      <c r="D9" s="657">
        <v>1.2933921119999998</v>
      </c>
      <c r="E9" s="657">
        <v>1.1569266300000001</v>
      </c>
      <c r="F9" s="657">
        <v>1.4152804170000002</v>
      </c>
      <c r="G9" s="658">
        <v>4.583686707</v>
      </c>
      <c r="H9" s="657">
        <v>1.2255609760000001</v>
      </c>
      <c r="I9" s="657">
        <v>2.5719665354430004</v>
      </c>
      <c r="J9" s="657">
        <v>2.9317513442570009</v>
      </c>
      <c r="K9" s="657">
        <v>3.2826158961000007</v>
      </c>
      <c r="L9" s="658">
        <v>10.011894751800002</v>
      </c>
      <c r="M9" s="657">
        <v>2.9656967366829998</v>
      </c>
      <c r="N9" s="657">
        <v>3.0168066075997673</v>
      </c>
      <c r="O9" s="657">
        <v>2.6262495281999998</v>
      </c>
      <c r="P9" s="657">
        <v>2.7516596712002337</v>
      </c>
      <c r="Q9" s="658">
        <v>11.360412543683001</v>
      </c>
      <c r="R9" s="657">
        <v>2.4778541441999997</v>
      </c>
      <c r="S9" s="657">
        <v>2.3429194053</v>
      </c>
      <c r="T9" s="657">
        <v>2.2254454786000002</v>
      </c>
      <c r="U9" s="657">
        <v>2.3861966917000008</v>
      </c>
      <c r="V9" s="658">
        <v>9.4324157198000016</v>
      </c>
      <c r="W9" s="577"/>
    </row>
    <row r="10" spans="1:23" s="5" customFormat="1" ht="13.5" customHeight="1">
      <c r="B10" s="115" t="str">
        <f>names!A1972</f>
        <v>Sprzedaż energii elektrycznej (TWh)**</v>
      </c>
      <c r="C10" s="657">
        <v>1.0237887210000001</v>
      </c>
      <c r="D10" s="657">
        <v>1.5553613619999997</v>
      </c>
      <c r="E10" s="657">
        <v>1.4037472150000001</v>
      </c>
      <c r="F10" s="657">
        <v>1.6887700750000001</v>
      </c>
      <c r="G10" s="658">
        <v>5.671667373</v>
      </c>
      <c r="H10" s="657">
        <v>1.5200600465</v>
      </c>
      <c r="I10" s="657">
        <v>5.8049443146549997</v>
      </c>
      <c r="J10" s="657">
        <v>7.8298747378200018</v>
      </c>
      <c r="K10" s="657">
        <v>8.437912908790004</v>
      </c>
      <c r="L10" s="658">
        <v>23.592792007765006</v>
      </c>
      <c r="M10" s="657">
        <v>8.1600128494009994</v>
      </c>
      <c r="N10" s="657">
        <v>7.6298963040597663</v>
      </c>
      <c r="O10" s="657">
        <v>7.3162680262709996</v>
      </c>
      <c r="P10" s="657">
        <v>7.9343289297092348</v>
      </c>
      <c r="Q10" s="658">
        <v>31.040506109441001</v>
      </c>
      <c r="R10" s="657">
        <v>7.410359234469956</v>
      </c>
      <c r="S10" s="657">
        <v>6.7859039528369767</v>
      </c>
      <c r="T10" s="657">
        <v>6.7214466297490025</v>
      </c>
      <c r="U10" s="657">
        <v>8.6005878115279977</v>
      </c>
      <c r="V10" s="658">
        <v>29.518297628583934</v>
      </c>
      <c r="W10" s="577"/>
    </row>
    <row r="11" spans="1:23" s="65" customFormat="1" ht="13.5" customHeight="1">
      <c r="B11" s="576" t="str">
        <f>names!A1973</f>
        <v>Produkcja energii elektrycznej brutto (TWh), w tym z:</v>
      </c>
      <c r="C11" s="659">
        <v>1.8413808353199999</v>
      </c>
      <c r="D11" s="659">
        <v>2.3587738813649994</v>
      </c>
      <c r="E11" s="659">
        <v>2.1518762022060001</v>
      </c>
      <c r="F11" s="659">
        <v>2.2432302510889994</v>
      </c>
      <c r="G11" s="660">
        <v>8.595445526182905</v>
      </c>
      <c r="H11" s="659">
        <v>2.2484694788550001</v>
      </c>
      <c r="I11" s="659">
        <v>2.5961243548999997</v>
      </c>
      <c r="J11" s="659">
        <v>2.7924256569150905</v>
      </c>
      <c r="K11" s="659">
        <v>3.3130576755817596</v>
      </c>
      <c r="L11" s="660">
        <v>10.95007716625185</v>
      </c>
      <c r="M11" s="659">
        <v>2.6551899931328999</v>
      </c>
      <c r="N11" s="659">
        <v>2.6378503814941157</v>
      </c>
      <c r="O11" s="659">
        <v>2.9498052255938494</v>
      </c>
      <c r="P11" s="659">
        <v>3.1854228698052522</v>
      </c>
      <c r="Q11" s="660">
        <v>11.428268470026117</v>
      </c>
      <c r="R11" s="659">
        <v>3.0156616134014933</v>
      </c>
      <c r="S11" s="659">
        <v>2.7658868955925793</v>
      </c>
      <c r="T11" s="659">
        <v>2.8145858212483663</v>
      </c>
      <c r="U11" s="659">
        <v>3.9319885348935335</v>
      </c>
      <c r="V11" s="660">
        <v>12.528122865135973</v>
      </c>
      <c r="W11" s="577"/>
    </row>
    <row r="12" spans="1:23" s="82" customFormat="1" ht="13.5" customHeight="1">
      <c r="B12" s="527" t="str">
        <f>names!A1974</f>
        <v xml:space="preserve">  OZE</v>
      </c>
      <c r="C12" s="642">
        <v>1.8720084022000316E-3</v>
      </c>
      <c r="D12" s="642">
        <v>1.6835818104000144E-3</v>
      </c>
      <c r="E12" s="642">
        <v>2.1220215632999917E-3</v>
      </c>
      <c r="F12" s="642">
        <v>2.0064365868999734E-3</v>
      </c>
      <c r="G12" s="661">
        <v>7.6840483628000111E-3</v>
      </c>
      <c r="H12" s="642">
        <v>2.0193408475000507E-3</v>
      </c>
      <c r="I12" s="642">
        <v>0.19476707467260007</v>
      </c>
      <c r="J12" s="642">
        <v>0.26998153921508999</v>
      </c>
      <c r="K12" s="642">
        <v>0.38720007018176</v>
      </c>
      <c r="L12" s="661">
        <v>0.85396802491695012</v>
      </c>
      <c r="M12" s="642">
        <v>0.40550398713289998</v>
      </c>
      <c r="N12" s="642">
        <v>0.42891557838944816</v>
      </c>
      <c r="O12" s="642">
        <v>0.35357780087242607</v>
      </c>
      <c r="P12" s="642">
        <v>0.42633566594012562</v>
      </c>
      <c r="Q12" s="661">
        <v>1.6143330323348999</v>
      </c>
      <c r="R12" s="642">
        <v>0.58384297894741877</v>
      </c>
      <c r="S12" s="642">
        <v>0.38037204823674214</v>
      </c>
      <c r="T12" s="642">
        <v>0.25526459086099662</v>
      </c>
      <c r="U12" s="642">
        <v>0.3882905834794062</v>
      </c>
      <c r="V12" s="661">
        <v>1.6077702015245636</v>
      </c>
      <c r="W12" s="577"/>
    </row>
    <row r="13" spans="1:23" s="82" customFormat="1" ht="13.5" customHeight="1">
      <c r="B13" s="527" t="str">
        <f>names!A1975</f>
        <v xml:space="preserve">  Gaz</v>
      </c>
      <c r="C13" s="642">
        <v>1.3061553767987202</v>
      </c>
      <c r="D13" s="642">
        <v>2.032405381798466</v>
      </c>
      <c r="E13" s="642">
        <v>1.8776174360060303</v>
      </c>
      <c r="F13" s="642">
        <v>1.800572569572561</v>
      </c>
      <c r="G13" s="661">
        <v>7.0167507641757769</v>
      </c>
      <c r="H13" s="642">
        <v>1.6935331817180639</v>
      </c>
      <c r="I13" s="642">
        <v>1.8425916781708509</v>
      </c>
      <c r="J13" s="642">
        <v>1.77143455667062</v>
      </c>
      <c r="K13" s="642">
        <v>1.9361413561018714</v>
      </c>
      <c r="L13" s="661">
        <v>7.2437007726614064</v>
      </c>
      <c r="M13" s="642">
        <v>1.1260477717218287</v>
      </c>
      <c r="N13" s="642">
        <v>1.4254214205276325</v>
      </c>
      <c r="O13" s="642">
        <v>1.5222218319690735</v>
      </c>
      <c r="P13" s="642">
        <v>1.4925638257051623</v>
      </c>
      <c r="Q13" s="661">
        <v>5.5662548499236975</v>
      </c>
      <c r="R13" s="642">
        <v>1.123942560698278</v>
      </c>
      <c r="S13" s="642">
        <v>1.2219397405952608</v>
      </c>
      <c r="T13" s="642">
        <v>1.3029682963156151</v>
      </c>
      <c r="U13" s="642">
        <v>1.6035173636353066</v>
      </c>
      <c r="V13" s="661">
        <v>5.2523679612444605</v>
      </c>
      <c r="W13" s="577"/>
    </row>
    <row r="14" spans="1:23" s="82" customFormat="1" ht="13.5" customHeight="1">
      <c r="B14" s="527" t="str">
        <f>names!A1976</f>
        <v xml:space="preserve">  Wielopaliwowe, głównie olej opałowy  (TWh)</v>
      </c>
      <c r="C14" s="642">
        <v>0.38059113489611918</v>
      </c>
      <c r="D14" s="642">
        <v>0.19471181333124177</v>
      </c>
      <c r="E14" s="642">
        <v>0.1636909709680891</v>
      </c>
      <c r="F14" s="642">
        <v>0.29421663159036443</v>
      </c>
      <c r="G14" s="661">
        <v>1.0332105507858145</v>
      </c>
      <c r="H14" s="642">
        <v>0.39999737603544872</v>
      </c>
      <c r="I14" s="642">
        <v>0.27527501397426191</v>
      </c>
      <c r="J14" s="642">
        <v>0.18336086486176523</v>
      </c>
      <c r="K14" s="642">
        <v>0.31589025133051396</v>
      </c>
      <c r="L14" s="661">
        <v>1.1745235062019899</v>
      </c>
      <c r="M14" s="642">
        <v>0.39531013818447219</v>
      </c>
      <c r="N14" s="642">
        <v>0.17858851241543416</v>
      </c>
      <c r="O14" s="642">
        <v>0.27741154663092654</v>
      </c>
      <c r="P14" s="642">
        <v>0.36902744141821126</v>
      </c>
      <c r="Q14" s="661">
        <v>1.2203376386490443</v>
      </c>
      <c r="R14" s="642">
        <v>0.44407791744172198</v>
      </c>
      <c r="S14" s="642">
        <v>0.35096855280473899</v>
      </c>
      <c r="T14" s="642">
        <v>0.33020653368438474</v>
      </c>
      <c r="U14" s="642">
        <v>0.42820343019592005</v>
      </c>
      <c r="V14" s="661">
        <v>1.5534564341267658</v>
      </c>
      <c r="W14" s="577"/>
    </row>
    <row r="15" spans="1:23" s="82" customFormat="1" ht="13.5" customHeight="1">
      <c r="B15" s="527" t="str">
        <f>names!A1977</f>
        <v xml:space="preserve">  Węgiel (TWh)</v>
      </c>
      <c r="C15" s="642">
        <v>0.15278917092516076</v>
      </c>
      <c r="D15" s="642">
        <v>0.13171710241529211</v>
      </c>
      <c r="E15" s="642">
        <v>0.11056779496188074</v>
      </c>
      <c r="F15" s="642">
        <v>0.14961249263607429</v>
      </c>
      <c r="G15" s="661">
        <v>0.54468656093840795</v>
      </c>
      <c r="H15" s="642">
        <v>0.15295145871148758</v>
      </c>
      <c r="I15" s="642">
        <v>0.27972215981488768</v>
      </c>
      <c r="J15" s="642">
        <v>0.55895273316761496</v>
      </c>
      <c r="K15" s="642">
        <v>0.64830954296761489</v>
      </c>
      <c r="L15" s="661">
        <v>1.6399358946616052</v>
      </c>
      <c r="M15" s="642">
        <v>0.70888172409369921</v>
      </c>
      <c r="N15" s="642">
        <v>0.59029491416160129</v>
      </c>
      <c r="O15" s="642">
        <v>0.78580423412142308</v>
      </c>
      <c r="P15" s="642">
        <v>0.87516404474175313</v>
      </c>
      <c r="Q15" s="661">
        <v>2.9601449171184768</v>
      </c>
      <c r="R15" s="642">
        <v>0.84085497231407436</v>
      </c>
      <c r="S15" s="642">
        <v>0.78855241395583731</v>
      </c>
      <c r="T15" s="642">
        <v>0.90522902038736985</v>
      </c>
      <c r="U15" s="642">
        <v>1.4855004455829015</v>
      </c>
      <c r="V15" s="661">
        <v>4.0201368522401832</v>
      </c>
      <c r="W15" s="577"/>
    </row>
    <row r="16" spans="1:23" s="82" customFormat="1" ht="13.5" customHeight="1">
      <c r="B16" s="527" t="str">
        <f>names!A1978</f>
        <v xml:space="preserve">  Pozostałe***</v>
      </c>
      <c r="C16" s="642">
        <v>0</v>
      </c>
      <c r="D16" s="642">
        <v>0</v>
      </c>
      <c r="E16" s="642">
        <v>0</v>
      </c>
      <c r="F16" s="642">
        <v>0</v>
      </c>
      <c r="G16" s="661">
        <v>0</v>
      </c>
      <c r="H16" s="642">
        <v>0</v>
      </c>
      <c r="I16" s="642">
        <v>3.7684282673989822E-3</v>
      </c>
      <c r="J16" s="642">
        <v>8.6959630000003063E-3</v>
      </c>
      <c r="K16" s="642">
        <v>2.5516454999999327E-2</v>
      </c>
      <c r="L16" s="661">
        <v>3.7980846267398616E-2</v>
      </c>
      <c r="M16" s="642">
        <v>1.9446372E-2</v>
      </c>
      <c r="N16" s="642">
        <v>1.4629956E-2</v>
      </c>
      <c r="O16" s="642">
        <v>1.0789811999999998E-2</v>
      </c>
      <c r="P16" s="642">
        <v>2.2331891999999999E-2</v>
      </c>
      <c r="Q16" s="661">
        <v>6.7198031999999991E-2</v>
      </c>
      <c r="R16" s="642">
        <v>2.2943183999999998E-2</v>
      </c>
      <c r="S16" s="642">
        <v>2.4054140000000002E-2</v>
      </c>
      <c r="T16" s="642">
        <v>2.0917379999999996E-2</v>
      </c>
      <c r="U16" s="642">
        <v>2.6474712000000001E-2</v>
      </c>
      <c r="V16" s="661">
        <v>9.438941599999999E-2</v>
      </c>
      <c r="W16" s="577"/>
    </row>
    <row r="17" spans="1:23" s="65" customFormat="1" ht="13.5" customHeight="1">
      <c r="B17" s="576" t="str">
        <f>names!A1979</f>
        <v>Moc zainstalowana elektryczna (GWe) z czego stanowią:</v>
      </c>
      <c r="C17" s="659">
        <v>1.87205</v>
      </c>
      <c r="D17" s="659">
        <v>1.87205</v>
      </c>
      <c r="E17" s="659">
        <v>1.8159499999999997</v>
      </c>
      <c r="F17" s="659">
        <v>1.8159499999999997</v>
      </c>
      <c r="G17" s="660">
        <v>1.8159499999999997</v>
      </c>
      <c r="H17" s="659">
        <v>1.8159499999999997</v>
      </c>
      <c r="I17" s="659">
        <v>3.1960000000000002</v>
      </c>
      <c r="J17" s="659">
        <v>3.1892999999999998</v>
      </c>
      <c r="K17" s="659">
        <v>3.1892999999999998</v>
      </c>
      <c r="L17" s="660">
        <v>3.1892999999999998</v>
      </c>
      <c r="M17" s="659">
        <v>3.2092999999999998</v>
      </c>
      <c r="N17" s="659">
        <v>3.2987000000000002</v>
      </c>
      <c r="O17" s="659">
        <v>3.3005499999999999</v>
      </c>
      <c r="P17" s="659">
        <v>3.3040500000000002</v>
      </c>
      <c r="Q17" s="660">
        <v>3.3040500000000002</v>
      </c>
      <c r="R17" s="659">
        <v>3.392848783746587</v>
      </c>
      <c r="S17" s="659">
        <v>3.3958487837465867</v>
      </c>
      <c r="T17" s="659">
        <v>3.4471748388532992</v>
      </c>
      <c r="U17" s="659">
        <v>5.4279494738532996</v>
      </c>
      <c r="V17" s="660">
        <v>5.4279494738532996</v>
      </c>
      <c r="W17" s="577"/>
    </row>
    <row r="18" spans="1:23" s="82" customFormat="1" ht="13.5" customHeight="1">
      <c r="B18" s="527" t="str">
        <f>names!A1980</f>
        <v xml:space="preserve">  OZE</v>
      </c>
      <c r="C18" s="642">
        <v>2.0000000000004546E-4</v>
      </c>
      <c r="D18" s="642">
        <v>1.9999999999998863E-4</v>
      </c>
      <c r="E18" s="642">
        <v>1.9999999999998863E-4</v>
      </c>
      <c r="F18" s="642">
        <v>1.9999999999998863E-4</v>
      </c>
      <c r="G18" s="661">
        <v>1.9999999999998863E-4</v>
      </c>
      <c r="H18" s="642">
        <v>1.9999999999998863E-4</v>
      </c>
      <c r="I18" s="642">
        <v>0.53905600000000009</v>
      </c>
      <c r="J18" s="642">
        <v>0.53225600000000006</v>
      </c>
      <c r="K18" s="642">
        <v>0.53225600000000006</v>
      </c>
      <c r="L18" s="661">
        <v>0.53225600000000006</v>
      </c>
      <c r="M18" s="642">
        <v>0.55225600000000008</v>
      </c>
      <c r="N18" s="642">
        <v>0.64165600000000012</v>
      </c>
      <c r="O18" s="642">
        <v>0.64346700000000012</v>
      </c>
      <c r="P18" s="642">
        <v>0.64946700000000002</v>
      </c>
      <c r="Q18" s="661">
        <v>0.64946700000000002</v>
      </c>
      <c r="R18" s="642">
        <v>0.64946700000000002</v>
      </c>
      <c r="S18" s="642">
        <v>0.65246700000000002</v>
      </c>
      <c r="T18" s="642">
        <v>0.67231200000000002</v>
      </c>
      <c r="U18" s="642">
        <v>0.71321463500000004</v>
      </c>
      <c r="V18" s="661">
        <v>0.71321463500000004</v>
      </c>
      <c r="W18" s="577"/>
    </row>
    <row r="19" spans="1:23" s="82" customFormat="1" ht="13.5" customHeight="1">
      <c r="B19" s="527" t="str">
        <f>names!A1981</f>
        <v xml:space="preserve">  Gaz</v>
      </c>
      <c r="C19" s="642">
        <v>1.09155</v>
      </c>
      <c r="D19" s="642">
        <v>1.09155</v>
      </c>
      <c r="E19" s="642">
        <v>1.09155</v>
      </c>
      <c r="F19" s="642">
        <v>1.09155</v>
      </c>
      <c r="G19" s="661">
        <v>1.09155</v>
      </c>
      <c r="H19" s="642">
        <v>1.09155</v>
      </c>
      <c r="I19" s="642">
        <v>1.09155</v>
      </c>
      <c r="J19" s="642">
        <v>1.09155</v>
      </c>
      <c r="K19" s="642">
        <v>1.09155</v>
      </c>
      <c r="L19" s="661">
        <v>1.09155</v>
      </c>
      <c r="M19" s="642">
        <v>1.09155</v>
      </c>
      <c r="N19" s="642">
        <v>1.09155</v>
      </c>
      <c r="O19" s="642">
        <v>1.09155</v>
      </c>
      <c r="P19" s="642">
        <v>1.09155</v>
      </c>
      <c r="Q19" s="661">
        <v>1.09155</v>
      </c>
      <c r="R19" s="642">
        <v>1.1087483324140008</v>
      </c>
      <c r="S19" s="642">
        <v>1.1087483324140008</v>
      </c>
      <c r="T19" s="642">
        <v>1.1195483324140008</v>
      </c>
      <c r="U19" s="642">
        <v>1.9905923324140005</v>
      </c>
      <c r="V19" s="661">
        <v>1.9905923324140005</v>
      </c>
      <c r="W19" s="577"/>
    </row>
    <row r="20" spans="1:23" s="82" customFormat="1" ht="13.5" customHeight="1">
      <c r="B20" s="527" t="str">
        <f>names!A1982</f>
        <v xml:space="preserve">  Olej opałowy</v>
      </c>
      <c r="C20" s="642">
        <v>0.66749999999999998</v>
      </c>
      <c r="D20" s="642">
        <v>0.66749999999999998</v>
      </c>
      <c r="E20" s="642">
        <v>0.61139999999999994</v>
      </c>
      <c r="F20" s="642">
        <v>0.61139999999999994</v>
      </c>
      <c r="G20" s="661">
        <v>0.61139999999999994</v>
      </c>
      <c r="H20" s="642">
        <v>0.61140000000000005</v>
      </c>
      <c r="I20" s="642">
        <v>0.61140000000000005</v>
      </c>
      <c r="J20" s="642">
        <v>0.61140000000000005</v>
      </c>
      <c r="K20" s="642">
        <v>0.61140000000000005</v>
      </c>
      <c r="L20" s="661">
        <v>0.61140000000000005</v>
      </c>
      <c r="M20" s="642">
        <v>0.61140000000000005</v>
      </c>
      <c r="N20" s="642">
        <v>0.61140000000000005</v>
      </c>
      <c r="O20" s="642">
        <v>0.61140000000000005</v>
      </c>
      <c r="P20" s="642">
        <v>0.61140000000000005</v>
      </c>
      <c r="Q20" s="661">
        <v>0.61140000000000005</v>
      </c>
      <c r="R20" s="642">
        <v>0.68049999999999999</v>
      </c>
      <c r="S20" s="642">
        <v>0.68049999999999999</v>
      </c>
      <c r="T20" s="642">
        <v>0.70150000000000001</v>
      </c>
      <c r="U20" s="642">
        <v>0.70150000000000001</v>
      </c>
      <c r="V20" s="661">
        <v>0.70150000000000001</v>
      </c>
      <c r="W20" s="577"/>
    </row>
    <row r="21" spans="1:23" s="82" customFormat="1" ht="13.5" customHeight="1">
      <c r="B21" s="527" t="str">
        <f>names!A1983</f>
        <v xml:space="preserve">  Węgiel</v>
      </c>
      <c r="C21" s="642">
        <v>0.1128</v>
      </c>
      <c r="D21" s="642">
        <v>0.1128</v>
      </c>
      <c r="E21" s="642">
        <v>0.1128</v>
      </c>
      <c r="F21" s="642">
        <v>0.1128</v>
      </c>
      <c r="G21" s="661">
        <v>0.1128</v>
      </c>
      <c r="H21" s="642">
        <v>0.1128</v>
      </c>
      <c r="I21" s="642">
        <v>0.79718345133258595</v>
      </c>
      <c r="J21" s="642">
        <v>0.79718345133258595</v>
      </c>
      <c r="K21" s="642">
        <v>0.79718345133258595</v>
      </c>
      <c r="L21" s="661">
        <v>0.79718345133258595</v>
      </c>
      <c r="M21" s="642">
        <v>0.79718345133258595</v>
      </c>
      <c r="N21" s="642">
        <v>0.79718345133258595</v>
      </c>
      <c r="O21" s="642">
        <v>0.79718345133258595</v>
      </c>
      <c r="P21" s="642">
        <v>0.79718345133258595</v>
      </c>
      <c r="Q21" s="661">
        <v>0.79718345133258595</v>
      </c>
      <c r="R21" s="642">
        <v>0.79718345133258595</v>
      </c>
      <c r="S21" s="642">
        <v>0.79718345133258595</v>
      </c>
      <c r="T21" s="642">
        <v>0.7968645064392984</v>
      </c>
      <c r="U21" s="642">
        <v>1.8656925064392986</v>
      </c>
      <c r="V21" s="661">
        <v>1.8656925064392986</v>
      </c>
      <c r="W21" s="577"/>
    </row>
    <row r="22" spans="1:23" s="82" customFormat="1" ht="13.5" customHeight="1">
      <c r="B22" s="527" t="str">
        <f>names!A1984</f>
        <v xml:space="preserve">  Pozostałe</v>
      </c>
      <c r="C22" s="642">
        <v>0</v>
      </c>
      <c r="D22" s="642">
        <v>0</v>
      </c>
      <c r="E22" s="642">
        <v>-2.0816681711721685E-16</v>
      </c>
      <c r="F22" s="642">
        <v>-2.0816681711721685E-16</v>
      </c>
      <c r="G22" s="661">
        <v>-2.0816681711721685E-16</v>
      </c>
      <c r="H22" s="642">
        <v>-3.1918911957973251E-16</v>
      </c>
      <c r="I22" s="642">
        <v>0.15694999999999998</v>
      </c>
      <c r="J22" s="642">
        <v>0.15694999999999998</v>
      </c>
      <c r="K22" s="642">
        <v>0.15694999999999998</v>
      </c>
      <c r="L22" s="661">
        <v>0.15694999999999998</v>
      </c>
      <c r="M22" s="642">
        <v>0.15694999999999998</v>
      </c>
      <c r="N22" s="642">
        <v>0.15694999999999998</v>
      </c>
      <c r="O22" s="642">
        <v>0.15694999999999998</v>
      </c>
      <c r="P22" s="642">
        <v>0.15694999999999998</v>
      </c>
      <c r="Q22" s="661">
        <v>0.15694999999999998</v>
      </c>
      <c r="R22" s="642">
        <v>0.15694999999999998</v>
      </c>
      <c r="S22" s="642">
        <v>0.15694999999999998</v>
      </c>
      <c r="T22" s="642">
        <v>0.15694999999999998</v>
      </c>
      <c r="U22" s="642">
        <v>0.15694999999999998</v>
      </c>
      <c r="V22" s="661">
        <v>0.15694999999999998</v>
      </c>
      <c r="W22" s="577"/>
    </row>
    <row r="23" spans="1:23" s="82" customFormat="1" ht="13.5" customHeight="1">
      <c r="B23" s="527"/>
      <c r="C23" s="642"/>
      <c r="D23" s="642"/>
      <c r="E23" s="642"/>
      <c r="F23" s="642"/>
      <c r="G23" s="661"/>
      <c r="H23" s="642"/>
      <c r="I23" s="642"/>
      <c r="J23" s="642"/>
      <c r="K23" s="642"/>
      <c r="L23" s="661"/>
      <c r="M23" s="642"/>
      <c r="N23" s="642"/>
      <c r="O23" s="642"/>
      <c r="P23" s="642"/>
      <c r="Q23" s="661"/>
      <c r="R23" s="642"/>
      <c r="S23" s="642"/>
      <c r="T23" s="642"/>
      <c r="U23" s="642"/>
      <c r="V23" s="661"/>
      <c r="W23" s="577"/>
    </row>
    <row r="24" spans="1:23" s="82" customFormat="1" ht="13.5" customHeight="1">
      <c r="B24" s="576" t="str">
        <f>names!A1986</f>
        <v>Moc zainstalowana cieplna (GWt)</v>
      </c>
      <c r="C24" s="642"/>
      <c r="D24" s="642"/>
      <c r="E24" s="642"/>
      <c r="F24" s="642"/>
      <c r="G24" s="661"/>
      <c r="H24" s="642"/>
      <c r="I24" s="642"/>
      <c r="J24" s="642"/>
      <c r="K24" s="642"/>
      <c r="L24" s="661"/>
      <c r="M24" s="659">
        <v>6.2023239999999999</v>
      </c>
      <c r="N24" s="659">
        <v>6.2054539999999996</v>
      </c>
      <c r="O24" s="659">
        <v>6.2054539999999996</v>
      </c>
      <c r="P24" s="659">
        <v>6.2054539999999996</v>
      </c>
      <c r="Q24" s="660">
        <v>6.2054539999999996</v>
      </c>
      <c r="R24" s="659">
        <v>6.2064539999999999</v>
      </c>
      <c r="S24" s="659">
        <v>6.3202540000000003</v>
      </c>
      <c r="T24" s="659">
        <v>6.6786560000000001</v>
      </c>
      <c r="U24" s="659">
        <v>13.6840785</v>
      </c>
      <c r="V24" s="660">
        <v>13.6840785</v>
      </c>
      <c r="W24" s="577"/>
    </row>
    <row r="25" spans="1:23" s="82" customFormat="1" ht="13.5" customHeight="1">
      <c r="B25" s="576" t="str">
        <f>names!A1987</f>
        <v>Produkcja ciepła użytkowego (PJ)</v>
      </c>
      <c r="C25" s="642"/>
      <c r="D25" s="642"/>
      <c r="E25" s="642"/>
      <c r="F25" s="642"/>
      <c r="G25" s="661"/>
      <c r="H25" s="642"/>
      <c r="I25" s="642"/>
      <c r="J25" s="642"/>
      <c r="K25" s="642"/>
      <c r="L25" s="661"/>
      <c r="M25" s="659">
        <v>13.69866335</v>
      </c>
      <c r="N25" s="659">
        <v>8.5209225299999964</v>
      </c>
      <c r="O25" s="659">
        <v>9.2378865799999996</v>
      </c>
      <c r="P25" s="659">
        <v>11.797324230000001</v>
      </c>
      <c r="Q25" s="660">
        <v>43.254796689999999</v>
      </c>
      <c r="R25" s="659">
        <v>12.673801410453231</v>
      </c>
      <c r="S25" s="659">
        <v>9.9513226982323619</v>
      </c>
      <c r="T25" s="659">
        <v>9.7746894449900452</v>
      </c>
      <c r="U25" s="659">
        <v>23.901534356332</v>
      </c>
      <c r="V25" s="660">
        <v>56.301347910007642</v>
      </c>
      <c r="W25" s="577"/>
    </row>
    <row r="26" spans="1:23" s="82" customFormat="1" ht="13.5" customHeight="1">
      <c r="B26" s="576" t="str">
        <f>names!A1988</f>
        <v>Sprzedaż ciepła poza GK ORLEN (PJ)</v>
      </c>
      <c r="C26" s="642"/>
      <c r="D26" s="642"/>
      <c r="E26" s="642"/>
      <c r="F26" s="642"/>
      <c r="G26" s="661"/>
      <c r="H26" s="642"/>
      <c r="I26" s="642"/>
      <c r="J26" s="642"/>
      <c r="K26" s="642"/>
      <c r="L26" s="661"/>
      <c r="M26" s="659">
        <v>2.7360087048075274</v>
      </c>
      <c r="N26" s="659">
        <v>1.1045646499999977</v>
      </c>
      <c r="O26" s="659">
        <v>0.74926203999999996</v>
      </c>
      <c r="P26" s="659">
        <v>2.1128025489393059</v>
      </c>
      <c r="Q26" s="660">
        <v>6.7026379437468311</v>
      </c>
      <c r="R26" s="659">
        <v>2.4020118699999999</v>
      </c>
      <c r="S26" s="659">
        <v>1.2378875060000001</v>
      </c>
      <c r="T26" s="659">
        <v>0.78483458399999984</v>
      </c>
      <c r="U26" s="659">
        <v>13.408627524250001</v>
      </c>
      <c r="V26" s="660">
        <v>17.833361484249998</v>
      </c>
      <c r="W26" s="577"/>
    </row>
    <row r="27" spans="1:23" s="82" customFormat="1" ht="13.5" customHeight="1">
      <c r="B27" s="527"/>
      <c r="C27" s="655"/>
      <c r="D27" s="655"/>
      <c r="E27" s="655"/>
      <c r="F27" s="655"/>
      <c r="G27" s="656"/>
      <c r="H27" s="655"/>
      <c r="I27" s="655"/>
      <c r="J27" s="655"/>
      <c r="K27" s="655"/>
      <c r="L27" s="656"/>
      <c r="M27" s="655"/>
      <c r="N27" s="655"/>
      <c r="O27" s="655"/>
      <c r="P27" s="655"/>
      <c r="Q27" s="656"/>
      <c r="R27" s="655"/>
      <c r="S27" s="655"/>
      <c r="T27" s="655"/>
      <c r="U27" s="655"/>
      <c r="V27" s="656"/>
      <c r="W27" s="577"/>
    </row>
    <row r="28" spans="1:23" s="82" customFormat="1" ht="13.5" customHeight="1">
      <c r="B28" s="527"/>
      <c r="C28" s="655"/>
      <c r="D28" s="655"/>
      <c r="E28" s="655"/>
      <c r="F28" s="655"/>
      <c r="G28" s="656"/>
      <c r="H28" s="655"/>
      <c r="I28" s="655"/>
      <c r="J28" s="655"/>
      <c r="K28" s="655"/>
      <c r="L28" s="656"/>
      <c r="M28" s="655"/>
      <c r="N28" s="655"/>
      <c r="O28" s="655"/>
      <c r="P28" s="655"/>
      <c r="Q28" s="656"/>
      <c r="R28" s="655"/>
      <c r="S28" s="655"/>
      <c r="T28" s="655"/>
      <c r="U28" s="655"/>
      <c r="V28" s="656"/>
      <c r="W28" s="577"/>
    </row>
    <row r="29" spans="1:23" s="82" customFormat="1" ht="9" customHeight="1" thickBot="1">
      <c r="B29" s="527"/>
      <c r="C29" s="528"/>
      <c r="D29" s="528"/>
      <c r="E29" s="528"/>
      <c r="F29" s="528"/>
      <c r="G29" s="529"/>
      <c r="H29" s="528"/>
      <c r="I29" s="528"/>
      <c r="J29" s="528"/>
      <c r="K29" s="528"/>
      <c r="L29" s="529"/>
      <c r="M29" s="528"/>
      <c r="N29" s="528"/>
      <c r="O29" s="528"/>
      <c r="P29" s="528"/>
      <c r="Q29" s="529"/>
      <c r="R29" s="528"/>
      <c r="S29" s="528"/>
      <c r="T29" s="528"/>
      <c r="U29" s="528"/>
      <c r="V29" s="529"/>
      <c r="W29" s="577"/>
    </row>
    <row r="30" spans="1:23" s="5" customFormat="1" ht="12" thickBot="1">
      <c r="A30" s="752"/>
      <c r="B30" s="755" t="str">
        <f>names!A1992</f>
        <v>Segment Wydobycie</v>
      </c>
      <c r="C30" s="756"/>
      <c r="D30" s="756"/>
      <c r="E30" s="756"/>
      <c r="F30" s="756"/>
      <c r="G30" s="265"/>
      <c r="H30" s="756"/>
      <c r="I30" s="756"/>
      <c r="J30" s="756"/>
      <c r="K30" s="756"/>
      <c r="L30" s="265"/>
      <c r="M30" s="756"/>
      <c r="N30" s="756"/>
      <c r="O30" s="756"/>
      <c r="P30" s="756"/>
      <c r="Q30" s="265"/>
      <c r="R30" s="756"/>
      <c r="S30" s="756"/>
      <c r="T30" s="756"/>
      <c r="U30" s="756"/>
      <c r="V30" s="265"/>
      <c r="W30" s="577"/>
    </row>
    <row r="31" spans="1:23" s="5" customFormat="1" ht="11.25">
      <c r="B31" s="531"/>
      <c r="C31" s="532"/>
      <c r="D31" s="532"/>
      <c r="E31" s="532"/>
      <c r="F31" s="532"/>
      <c r="G31" s="533"/>
      <c r="H31" s="532"/>
      <c r="I31" s="532"/>
      <c r="J31" s="532"/>
      <c r="K31" s="532"/>
      <c r="L31" s="533"/>
      <c r="M31" s="532"/>
      <c r="N31" s="532"/>
      <c r="O31" s="532"/>
      <c r="P31" s="532"/>
      <c r="Q31" s="533"/>
      <c r="R31" s="532"/>
      <c r="S31" s="532"/>
      <c r="T31" s="532"/>
      <c r="U31" s="532"/>
      <c r="V31" s="533"/>
      <c r="W31" s="577"/>
    </row>
    <row r="32" spans="1:23" s="5" customFormat="1" ht="11.25">
      <c r="B32" s="534" t="str">
        <f>names!A1994</f>
        <v>Liczba dni (w okresie)</v>
      </c>
      <c r="C32" s="570">
        <v>90</v>
      </c>
      <c r="D32" s="570">
        <v>91</v>
      </c>
      <c r="E32" s="570">
        <v>92</v>
      </c>
      <c r="F32" s="570">
        <v>92</v>
      </c>
      <c r="G32" s="571"/>
      <c r="H32" s="570">
        <v>91</v>
      </c>
      <c r="I32" s="570">
        <v>91</v>
      </c>
      <c r="J32" s="570">
        <v>92</v>
      </c>
      <c r="K32" s="570">
        <v>92</v>
      </c>
      <c r="L32" s="571"/>
      <c r="M32" s="570">
        <v>90</v>
      </c>
      <c r="N32" s="570">
        <v>91</v>
      </c>
      <c r="O32" s="570">
        <v>92</v>
      </c>
      <c r="P32" s="570">
        <v>92</v>
      </c>
      <c r="Q32" s="571"/>
      <c r="R32" s="570">
        <v>90</v>
      </c>
      <c r="S32" s="570">
        <v>91</v>
      </c>
      <c r="T32" s="570">
        <v>92</v>
      </c>
      <c r="U32" s="535">
        <v>92</v>
      </c>
      <c r="V32" s="536"/>
      <c r="W32" s="577"/>
    </row>
    <row r="33" spans="2:23" s="5" customFormat="1" ht="13.5" customHeight="1">
      <c r="B33" s="118" t="str">
        <f>names!A1995</f>
        <v>Produkcja całkowita (ropa + gaz + NGL) ( boe/d)</v>
      </c>
      <c r="C33" s="564">
        <v>18766.373047207198</v>
      </c>
      <c r="D33" s="564">
        <v>17831.05707634813</v>
      </c>
      <c r="E33" s="564">
        <v>17694.309045683796</v>
      </c>
      <c r="F33" s="564">
        <v>18730.535070444439</v>
      </c>
      <c r="G33" s="565">
        <v>18253.932676383905</v>
      </c>
      <c r="H33" s="564">
        <v>20260.204421689115</v>
      </c>
      <c r="I33" s="564">
        <v>18782.291698210156</v>
      </c>
      <c r="J33" s="564">
        <v>16885.408877010075</v>
      </c>
      <c r="K33" s="564">
        <v>16272.040218322294</v>
      </c>
      <c r="L33" s="565">
        <v>18041.946622080359</v>
      </c>
      <c r="M33" s="564">
        <v>16151.300370517314</v>
      </c>
      <c r="N33" s="564">
        <v>17817.297937309562</v>
      </c>
      <c r="O33" s="564">
        <v>16925.244272032105</v>
      </c>
      <c r="P33" s="564">
        <v>15847.165288448754</v>
      </c>
      <c r="Q33" s="565">
        <v>16685.076233441006</v>
      </c>
      <c r="R33" s="564">
        <v>16647.578676806501</v>
      </c>
      <c r="S33" s="564">
        <v>18569.135291153172</v>
      </c>
      <c r="T33" s="572">
        <v>30119.752047473557</v>
      </c>
      <c r="U33" s="572">
        <v>190979.3487765489</v>
      </c>
      <c r="V33" s="586">
        <v>92374.808480382329</v>
      </c>
      <c r="W33" s="577"/>
    </row>
    <row r="34" spans="2:23" s="5" customFormat="1" ht="13.5" customHeight="1">
      <c r="B34" s="115" t="str">
        <f>names!A1996</f>
        <v>Kanada</v>
      </c>
      <c r="C34" s="566">
        <v>17790.413703703704</v>
      </c>
      <c r="D34" s="566">
        <v>16926.463186813184</v>
      </c>
      <c r="E34" s="566">
        <v>16726.664456521736</v>
      </c>
      <c r="F34" s="566">
        <v>17522.759601449292</v>
      </c>
      <c r="G34" s="567">
        <v>17239.431223744294</v>
      </c>
      <c r="H34" s="566">
        <v>19141.109761904754</v>
      </c>
      <c r="I34" s="566">
        <v>17775.524780219777</v>
      </c>
      <c r="J34" s="566">
        <v>15947.406123188375</v>
      </c>
      <c r="K34" s="566">
        <v>15246.743297101484</v>
      </c>
      <c r="L34" s="567">
        <v>17019.87838797814</v>
      </c>
      <c r="M34" s="566">
        <v>14777.245148148148</v>
      </c>
      <c r="N34" s="566">
        <v>16764.092838827844</v>
      </c>
      <c r="O34" s="566">
        <v>15960.730235507246</v>
      </c>
      <c r="P34" s="566">
        <v>14885.278514492731</v>
      </c>
      <c r="Q34" s="567">
        <v>15598.129634703191</v>
      </c>
      <c r="R34" s="566">
        <v>15392.11922222222</v>
      </c>
      <c r="S34" s="566">
        <v>17143.267820512821</v>
      </c>
      <c r="T34" s="563">
        <v>15191.772192028993</v>
      </c>
      <c r="U34" s="563">
        <v>14631.603224637673</v>
      </c>
      <c r="V34" s="587">
        <v>15589.690614850426</v>
      </c>
      <c r="W34" s="577"/>
    </row>
    <row r="35" spans="2:23" s="5" customFormat="1" ht="13.5" customHeight="1">
      <c r="B35" s="115" t="str">
        <f>names!A1997</f>
        <v>Polska</v>
      </c>
      <c r="C35" s="566">
        <v>975.95934350349512</v>
      </c>
      <c r="D35" s="566">
        <v>904.59388953494465</v>
      </c>
      <c r="E35" s="566">
        <v>967.64458916206024</v>
      </c>
      <c r="F35" s="566">
        <v>1207.7754689951455</v>
      </c>
      <c r="G35" s="567">
        <v>1014.5014526396095</v>
      </c>
      <c r="H35" s="566">
        <v>1119.0946597843629</v>
      </c>
      <c r="I35" s="566">
        <v>1006.7669179903791</v>
      </c>
      <c r="J35" s="566">
        <v>938.00275382170048</v>
      </c>
      <c r="K35" s="566">
        <v>1025.2969212208093</v>
      </c>
      <c r="L35" s="567">
        <v>1022.0682341022197</v>
      </c>
      <c r="M35" s="566">
        <v>1374.055222369167</v>
      </c>
      <c r="N35" s="566">
        <v>1053.2050984817188</v>
      </c>
      <c r="O35" s="566">
        <v>964.51403652486022</v>
      </c>
      <c r="P35" s="566">
        <v>961.88677395602213</v>
      </c>
      <c r="Q35" s="567">
        <v>1086.9465987378155</v>
      </c>
      <c r="R35" s="566">
        <v>1255.4594545842826</v>
      </c>
      <c r="S35" s="566">
        <v>1425.8674706403515</v>
      </c>
      <c r="T35" s="563">
        <v>5150.7973960289364</v>
      </c>
      <c r="U35" s="563">
        <v>82811.33689973304</v>
      </c>
      <c r="V35" s="587">
        <v>22660.865305246654</v>
      </c>
      <c r="W35" s="577"/>
    </row>
    <row r="36" spans="2:23" s="5" customFormat="1" ht="13.5" customHeight="1">
      <c r="B36" s="115" t="str">
        <f>names!A1998</f>
        <v>Pakistan</v>
      </c>
      <c r="C36" s="566" t="s">
        <v>249</v>
      </c>
      <c r="D36" s="566" t="s">
        <v>249</v>
      </c>
      <c r="E36" s="566" t="s">
        <v>249</v>
      </c>
      <c r="F36" s="566" t="s">
        <v>249</v>
      </c>
      <c r="G36" s="567" t="s">
        <v>249</v>
      </c>
      <c r="H36" s="566" t="s">
        <v>249</v>
      </c>
      <c r="I36" s="566" t="s">
        <v>249</v>
      </c>
      <c r="J36" s="566" t="s">
        <v>249</v>
      </c>
      <c r="K36" s="566" t="s">
        <v>249</v>
      </c>
      <c r="L36" s="567" t="s">
        <v>249</v>
      </c>
      <c r="M36" s="566" t="s">
        <v>249</v>
      </c>
      <c r="N36" s="566" t="s">
        <v>249</v>
      </c>
      <c r="O36" s="566" t="s">
        <v>249</v>
      </c>
      <c r="P36" s="566" t="s">
        <v>249</v>
      </c>
      <c r="Q36" s="567" t="s">
        <v>249</v>
      </c>
      <c r="R36" s="566" t="s">
        <v>249</v>
      </c>
      <c r="S36" s="566" t="s">
        <v>249</v>
      </c>
      <c r="T36" s="566" t="s">
        <v>249</v>
      </c>
      <c r="U36" s="563">
        <v>4934.9140089766497</v>
      </c>
      <c r="V36" s="587">
        <v>4934.9140089766497</v>
      </c>
      <c r="W36" s="577"/>
    </row>
    <row r="37" spans="2:23" s="5" customFormat="1" ht="13.5" customHeight="1">
      <c r="B37" s="115" t="str">
        <f>names!A1999</f>
        <v>Norwegia</v>
      </c>
      <c r="C37" s="566" t="s">
        <v>249</v>
      </c>
      <c r="D37" s="566" t="s">
        <v>249</v>
      </c>
      <c r="E37" s="566" t="s">
        <v>249</v>
      </c>
      <c r="F37" s="566" t="s">
        <v>249</v>
      </c>
      <c r="G37" s="567" t="s">
        <v>249</v>
      </c>
      <c r="H37" s="566" t="s">
        <v>249</v>
      </c>
      <c r="I37" s="566" t="s">
        <v>249</v>
      </c>
      <c r="J37" s="566" t="s">
        <v>249</v>
      </c>
      <c r="K37" s="566" t="s">
        <v>249</v>
      </c>
      <c r="L37" s="567" t="s">
        <v>249</v>
      </c>
      <c r="M37" s="566" t="s">
        <v>249</v>
      </c>
      <c r="N37" s="566" t="s">
        <v>249</v>
      </c>
      <c r="O37" s="566" t="s">
        <v>249</v>
      </c>
      <c r="P37" s="566" t="s">
        <v>249</v>
      </c>
      <c r="Q37" s="567" t="s">
        <v>249</v>
      </c>
      <c r="R37" s="566" t="s">
        <v>249</v>
      </c>
      <c r="S37" s="566" t="s">
        <v>249</v>
      </c>
      <c r="T37" s="563">
        <v>9311.0872131147535</v>
      </c>
      <c r="U37" s="563">
        <v>88166.625077984179</v>
      </c>
      <c r="V37" s="587">
        <v>48738.856145549464</v>
      </c>
      <c r="W37" s="577"/>
    </row>
    <row r="38" spans="2:23" s="5" customFormat="1" ht="13.5" customHeight="1">
      <c r="B38" s="115" t="str">
        <f>names!A2000</f>
        <v>Litwa</v>
      </c>
      <c r="C38" s="566" t="s">
        <v>249</v>
      </c>
      <c r="D38" s="566" t="s">
        <v>249</v>
      </c>
      <c r="E38" s="566" t="s">
        <v>249</v>
      </c>
      <c r="F38" s="566" t="s">
        <v>249</v>
      </c>
      <c r="G38" s="567" t="s">
        <v>249</v>
      </c>
      <c r="H38" s="566" t="s">
        <v>249</v>
      </c>
      <c r="I38" s="566" t="s">
        <v>249</v>
      </c>
      <c r="J38" s="566" t="s">
        <v>249</v>
      </c>
      <c r="K38" s="566" t="s">
        <v>249</v>
      </c>
      <c r="L38" s="567" t="s">
        <v>249</v>
      </c>
      <c r="M38" s="566" t="s">
        <v>249</v>
      </c>
      <c r="N38" s="566" t="s">
        <v>249</v>
      </c>
      <c r="O38" s="566" t="s">
        <v>249</v>
      </c>
      <c r="P38" s="566" t="s">
        <v>249</v>
      </c>
      <c r="Q38" s="567" t="s">
        <v>249</v>
      </c>
      <c r="R38" s="566" t="s">
        <v>249</v>
      </c>
      <c r="S38" s="566" t="s">
        <v>249</v>
      </c>
      <c r="T38" s="563">
        <v>466.09524630087213</v>
      </c>
      <c r="U38" s="563">
        <v>434.86956521739131</v>
      </c>
      <c r="V38" s="587">
        <v>450.48240575913172</v>
      </c>
      <c r="W38" s="577"/>
    </row>
    <row r="39" spans="2:23" s="5" customFormat="1" ht="9" customHeight="1">
      <c r="B39" s="115"/>
      <c r="C39" s="566"/>
      <c r="D39" s="566"/>
      <c r="E39" s="566"/>
      <c r="F39" s="566"/>
      <c r="G39" s="567"/>
      <c r="H39" s="566"/>
      <c r="I39" s="566"/>
      <c r="J39" s="566"/>
      <c r="K39" s="566"/>
      <c r="L39" s="567"/>
      <c r="M39" s="566"/>
      <c r="N39" s="566"/>
      <c r="O39" s="566"/>
      <c r="P39" s="566"/>
      <c r="Q39" s="567"/>
      <c r="R39" s="566"/>
      <c r="S39" s="566"/>
      <c r="T39" s="563"/>
      <c r="U39" s="563"/>
      <c r="V39" s="587"/>
      <c r="W39" s="577"/>
    </row>
    <row r="40" spans="2:23" s="5" customFormat="1" ht="13.5" customHeight="1">
      <c r="B40" s="530" t="str">
        <f>names!A2002</f>
        <v>Sprzedaż całkowita (ropa + gaz + NGL) (boe/d)</v>
      </c>
      <c r="C40" s="568">
        <v>18766.373047207202</v>
      </c>
      <c r="D40" s="568">
        <v>17831.057076348134</v>
      </c>
      <c r="E40" s="568">
        <v>17694.172306553366</v>
      </c>
      <c r="F40" s="568">
        <v>18730.535070444428</v>
      </c>
      <c r="G40" s="569">
        <v>18253.898210630483</v>
      </c>
      <c r="H40" s="568">
        <v>20260.204421689115</v>
      </c>
      <c r="I40" s="568">
        <v>18782.291698210171</v>
      </c>
      <c r="J40" s="568">
        <v>16884.725181357924</v>
      </c>
      <c r="K40" s="568">
        <v>16272.587174844009</v>
      </c>
      <c r="L40" s="569">
        <v>18041.912250495665</v>
      </c>
      <c r="M40" s="568">
        <v>16151.300370517327</v>
      </c>
      <c r="N40" s="568">
        <v>17817.297937309562</v>
      </c>
      <c r="O40" s="568">
        <v>16925.244272032105</v>
      </c>
      <c r="P40" s="568">
        <v>15847.165288448776</v>
      </c>
      <c r="Q40" s="569">
        <v>16685.076233441014</v>
      </c>
      <c r="R40" s="568">
        <v>16223.591805432019</v>
      </c>
      <c r="S40" s="568">
        <v>17993.298602327159</v>
      </c>
      <c r="T40" s="573">
        <v>26782.94201597981</v>
      </c>
      <c r="U40" s="573">
        <v>181601.50877034431</v>
      </c>
      <c r="V40" s="588">
        <v>86938.238948431594</v>
      </c>
      <c r="W40" s="577"/>
    </row>
    <row r="41" spans="2:23" s="5" customFormat="1" ht="13.5" customHeight="1">
      <c r="B41" s="115" t="str">
        <f>names!A2003</f>
        <v>Kanada</v>
      </c>
      <c r="C41" s="566">
        <v>17790.413703703707</v>
      </c>
      <c r="D41" s="566">
        <v>16926.463186813187</v>
      </c>
      <c r="E41" s="566">
        <v>16726.527717391305</v>
      </c>
      <c r="F41" s="566">
        <v>17522.759601449281</v>
      </c>
      <c r="G41" s="567">
        <v>17239.396757990871</v>
      </c>
      <c r="H41" s="566">
        <v>19141.109761904754</v>
      </c>
      <c r="I41" s="566">
        <v>17775.524780219792</v>
      </c>
      <c r="J41" s="566">
        <v>15946.722427536224</v>
      </c>
      <c r="K41" s="566">
        <v>15247.2902536232</v>
      </c>
      <c r="L41" s="567">
        <v>17019.844016393443</v>
      </c>
      <c r="M41" s="566">
        <v>14777.24514814816</v>
      </c>
      <c r="N41" s="566">
        <v>16764.092838827844</v>
      </c>
      <c r="O41" s="566">
        <v>15960.730235507246</v>
      </c>
      <c r="P41" s="566">
        <v>14885.278514492753</v>
      </c>
      <c r="Q41" s="567">
        <v>15598.1296347032</v>
      </c>
      <c r="R41" s="566">
        <v>15392.119222222229</v>
      </c>
      <c r="S41" s="566">
        <v>17143.26782051281</v>
      </c>
      <c r="T41" s="563">
        <v>15191.772192028977</v>
      </c>
      <c r="U41" s="563">
        <v>14631.603224637678</v>
      </c>
      <c r="V41" s="587">
        <v>15589.690614850424</v>
      </c>
      <c r="W41" s="577"/>
    </row>
    <row r="42" spans="2:23" s="5" customFormat="1" ht="13.5" customHeight="1">
      <c r="B42" s="115" t="str">
        <f>names!A2004</f>
        <v xml:space="preserve">Polska </v>
      </c>
      <c r="C42" s="566">
        <v>975.95934350349512</v>
      </c>
      <c r="D42" s="566">
        <v>904.59388953494465</v>
      </c>
      <c r="E42" s="566">
        <v>967.64458916206024</v>
      </c>
      <c r="F42" s="566">
        <v>1207.7754689951455</v>
      </c>
      <c r="G42" s="567">
        <v>1014.5014526396095</v>
      </c>
      <c r="H42" s="566">
        <v>1119.0946597843629</v>
      </c>
      <c r="I42" s="566">
        <v>1006.7669179903791</v>
      </c>
      <c r="J42" s="566">
        <v>938.00275382170048</v>
      </c>
      <c r="K42" s="566">
        <v>1025.2969212208093</v>
      </c>
      <c r="L42" s="567">
        <v>1022.0682341022197</v>
      </c>
      <c r="M42" s="566">
        <v>1374.055222369167</v>
      </c>
      <c r="N42" s="566">
        <v>1053.2050984817188</v>
      </c>
      <c r="O42" s="566">
        <v>964.51403652486022</v>
      </c>
      <c r="P42" s="566">
        <v>961.88677395602213</v>
      </c>
      <c r="Q42" s="567">
        <v>1086.9465987378155</v>
      </c>
      <c r="R42" s="566">
        <v>831.47258320979051</v>
      </c>
      <c r="S42" s="566">
        <v>850.03078181434739</v>
      </c>
      <c r="T42" s="563">
        <v>3396.4257255901789</v>
      </c>
      <c r="U42" s="563">
        <v>88090.662843262893</v>
      </c>
      <c r="V42" s="587">
        <v>23292.147983469302</v>
      </c>
      <c r="W42" s="577"/>
    </row>
    <row r="43" spans="2:23" s="5" customFormat="1" ht="13.5" customHeight="1">
      <c r="B43" s="115" t="str">
        <f>names!A2005</f>
        <v>Pakistan</v>
      </c>
      <c r="C43" s="566" t="s">
        <v>249</v>
      </c>
      <c r="D43" s="566" t="s">
        <v>249</v>
      </c>
      <c r="E43" s="566" t="s">
        <v>249</v>
      </c>
      <c r="F43" s="566" t="s">
        <v>249</v>
      </c>
      <c r="G43" s="567" t="s">
        <v>249</v>
      </c>
      <c r="H43" s="566" t="s">
        <v>249</v>
      </c>
      <c r="I43" s="566" t="s">
        <v>249</v>
      </c>
      <c r="J43" s="566" t="s">
        <v>249</v>
      </c>
      <c r="K43" s="566" t="s">
        <v>249</v>
      </c>
      <c r="L43" s="567" t="s">
        <v>249</v>
      </c>
      <c r="M43" s="566" t="s">
        <v>249</v>
      </c>
      <c r="N43" s="566" t="s">
        <v>249</v>
      </c>
      <c r="O43" s="566" t="s">
        <v>249</v>
      </c>
      <c r="P43" s="566" t="s">
        <v>249</v>
      </c>
      <c r="Q43" s="567" t="s">
        <v>249</v>
      </c>
      <c r="R43" s="566" t="s">
        <v>249</v>
      </c>
      <c r="S43" s="566" t="s">
        <v>249</v>
      </c>
      <c r="T43" s="566" t="s">
        <v>249</v>
      </c>
      <c r="U43" s="563">
        <v>4934.914009843581</v>
      </c>
      <c r="V43" s="587">
        <v>4934.914009843581</v>
      </c>
      <c r="W43" s="577"/>
    </row>
    <row r="44" spans="2:23" s="5" customFormat="1" ht="13.5" customHeight="1">
      <c r="B44" s="115" t="str">
        <f>names!A2006</f>
        <v>Norwegia</v>
      </c>
      <c r="C44" s="566" t="s">
        <v>249</v>
      </c>
      <c r="D44" s="566" t="s">
        <v>249</v>
      </c>
      <c r="E44" s="566" t="s">
        <v>249</v>
      </c>
      <c r="F44" s="566" t="s">
        <v>249</v>
      </c>
      <c r="G44" s="567" t="s">
        <v>249</v>
      </c>
      <c r="H44" s="566" t="s">
        <v>249</v>
      </c>
      <c r="I44" s="566" t="s">
        <v>249</v>
      </c>
      <c r="J44" s="566" t="s">
        <v>249</v>
      </c>
      <c r="K44" s="566" t="s">
        <v>249</v>
      </c>
      <c r="L44" s="567" t="s">
        <v>249</v>
      </c>
      <c r="M44" s="566" t="s">
        <v>249</v>
      </c>
      <c r="N44" s="566" t="s">
        <v>249</v>
      </c>
      <c r="O44" s="566" t="s">
        <v>249</v>
      </c>
      <c r="P44" s="566" t="s">
        <v>249</v>
      </c>
      <c r="Q44" s="567" t="s">
        <v>249</v>
      </c>
      <c r="R44" s="566" t="s">
        <v>249</v>
      </c>
      <c r="S44" s="566" t="s">
        <v>249</v>
      </c>
      <c r="T44" s="563">
        <v>8067.1867213114756</v>
      </c>
      <c r="U44" s="563">
        <v>73944.328692600146</v>
      </c>
      <c r="V44" s="587">
        <v>42993.928963219107</v>
      </c>
      <c r="W44" s="577"/>
    </row>
    <row r="45" spans="2:23" s="5" customFormat="1" ht="13.5" customHeight="1">
      <c r="B45" s="115" t="str">
        <f>names!A2007</f>
        <v>Litwa</v>
      </c>
      <c r="C45" s="566" t="s">
        <v>249</v>
      </c>
      <c r="D45" s="566" t="s">
        <v>249</v>
      </c>
      <c r="E45" s="566" t="s">
        <v>249</v>
      </c>
      <c r="F45" s="566" t="s">
        <v>249</v>
      </c>
      <c r="G45" s="567" t="s">
        <v>249</v>
      </c>
      <c r="H45" s="566" t="s">
        <v>249</v>
      </c>
      <c r="I45" s="566" t="s">
        <v>249</v>
      </c>
      <c r="J45" s="566" t="s">
        <v>249</v>
      </c>
      <c r="K45" s="566" t="s">
        <v>249</v>
      </c>
      <c r="L45" s="567" t="s">
        <v>249</v>
      </c>
      <c r="M45" s="566" t="s">
        <v>249</v>
      </c>
      <c r="N45" s="566" t="s">
        <v>249</v>
      </c>
      <c r="O45" s="566" t="s">
        <v>249</v>
      </c>
      <c r="P45" s="566" t="s">
        <v>249</v>
      </c>
      <c r="Q45" s="567" t="s">
        <v>249</v>
      </c>
      <c r="R45" s="566" t="s">
        <v>249</v>
      </c>
      <c r="S45" s="566" t="s">
        <v>249</v>
      </c>
      <c r="T45" s="563">
        <v>127.55737704918033</v>
      </c>
      <c r="U45" s="566" t="s">
        <v>249</v>
      </c>
      <c r="V45" s="587">
        <v>127.55737704918033</v>
      </c>
      <c r="W45" s="577"/>
    </row>
    <row r="46" spans="2:23" s="5" customFormat="1" ht="9" customHeight="1">
      <c r="B46" s="115"/>
      <c r="C46" s="566"/>
      <c r="D46" s="566"/>
      <c r="E46" s="566"/>
      <c r="F46" s="566"/>
      <c r="G46" s="567"/>
      <c r="H46" s="566"/>
      <c r="I46" s="566"/>
      <c r="J46" s="566"/>
      <c r="K46" s="566"/>
      <c r="L46" s="567"/>
      <c r="M46" s="566"/>
      <c r="N46" s="566"/>
      <c r="O46" s="566"/>
      <c r="P46" s="566"/>
      <c r="Q46" s="567"/>
      <c r="R46" s="566"/>
      <c r="S46" s="566"/>
      <c r="T46" s="563"/>
      <c r="U46" s="563"/>
      <c r="V46" s="587"/>
      <c r="W46" s="577"/>
    </row>
    <row r="47" spans="2:23" s="5" customFormat="1" ht="13.5" customHeight="1">
      <c r="B47" s="530" t="str">
        <f>names!A2009</f>
        <v>Sprzedaż ropy naftowej (bbl/d)</v>
      </c>
      <c r="C47" s="568">
        <v>1638.3915555555557</v>
      </c>
      <c r="D47" s="568">
        <v>1550.7556043956042</v>
      </c>
      <c r="E47" s="568">
        <v>1792.8185869565214</v>
      </c>
      <c r="F47" s="568">
        <v>2902.6443478260885</v>
      </c>
      <c r="G47" s="569">
        <v>1974.1276438356167</v>
      </c>
      <c r="H47" s="568">
        <v>3214.4009511846152</v>
      </c>
      <c r="I47" s="568">
        <v>2172.8432967032977</v>
      </c>
      <c r="J47" s="568">
        <v>1624.7793478260858</v>
      </c>
      <c r="K47" s="568">
        <v>1361.6558695652184</v>
      </c>
      <c r="L47" s="569">
        <v>2090.1400725622952</v>
      </c>
      <c r="M47" s="568">
        <v>1067.857888888889</v>
      </c>
      <c r="N47" s="568">
        <v>959.32560439560416</v>
      </c>
      <c r="O47" s="568">
        <v>1031.7883695652179</v>
      </c>
      <c r="P47" s="568">
        <v>1036.9161026956513</v>
      </c>
      <c r="Q47" s="569">
        <v>1023.9086341041094</v>
      </c>
      <c r="R47" s="568">
        <v>1959.9206304000002</v>
      </c>
      <c r="S47" s="568">
        <v>2220.2520429450547</v>
      </c>
      <c r="T47" s="573">
        <v>7885.2588127270128</v>
      </c>
      <c r="U47" s="573">
        <v>31857.168670151324</v>
      </c>
      <c r="V47" s="588">
        <v>13234.235815458409</v>
      </c>
      <c r="W47" s="577"/>
    </row>
    <row r="48" spans="2:23" s="5" customFormat="1" ht="13.5" customHeight="1">
      <c r="B48" s="115" t="str">
        <f>names!A2010</f>
        <v>Kanada</v>
      </c>
      <c r="C48" s="566">
        <v>1638.3915555555557</v>
      </c>
      <c r="D48" s="566">
        <v>1550.7556043956042</v>
      </c>
      <c r="E48" s="566">
        <v>1792.8185869565214</v>
      </c>
      <c r="F48" s="566">
        <v>2902.6443478260885</v>
      </c>
      <c r="G48" s="567">
        <v>1974.1276438356167</v>
      </c>
      <c r="H48" s="566">
        <v>3212.8630769230767</v>
      </c>
      <c r="I48" s="566">
        <v>2172.8432967032977</v>
      </c>
      <c r="J48" s="566">
        <v>1624.7793478260858</v>
      </c>
      <c r="K48" s="566">
        <v>1361.6558695652184</v>
      </c>
      <c r="L48" s="567">
        <v>2089.7577049180331</v>
      </c>
      <c r="M48" s="566">
        <v>1067.857888888889</v>
      </c>
      <c r="N48" s="566">
        <v>959.32560439560416</v>
      </c>
      <c r="O48" s="566">
        <v>1031.7883695652179</v>
      </c>
      <c r="P48" s="566">
        <v>1035.4461956521729</v>
      </c>
      <c r="Q48" s="567">
        <v>1023.5381369863012</v>
      </c>
      <c r="R48" s="566">
        <v>1958.3147777777779</v>
      </c>
      <c r="S48" s="566">
        <v>2211.4921978021976</v>
      </c>
      <c r="T48" s="563">
        <v>1509.0667391304344</v>
      </c>
      <c r="U48" s="563">
        <v>1889.8653260869571</v>
      </c>
      <c r="V48" s="587">
        <v>1892.1847601993416</v>
      </c>
      <c r="W48" s="577"/>
    </row>
    <row r="49" spans="2:23" s="5" customFormat="1" ht="13.5" customHeight="1">
      <c r="B49" s="115" t="str">
        <f>names!A2011</f>
        <v>Polska</v>
      </c>
      <c r="C49" s="566">
        <v>0</v>
      </c>
      <c r="D49" s="566">
        <v>0</v>
      </c>
      <c r="E49" s="566">
        <v>0</v>
      </c>
      <c r="F49" s="566">
        <v>0</v>
      </c>
      <c r="G49" s="567">
        <v>0</v>
      </c>
      <c r="H49" s="566">
        <v>1.5378742615384615</v>
      </c>
      <c r="I49" s="566">
        <v>0</v>
      </c>
      <c r="J49" s="566">
        <v>0</v>
      </c>
      <c r="K49" s="566">
        <v>0</v>
      </c>
      <c r="L49" s="567">
        <v>0.38236764426229508</v>
      </c>
      <c r="M49" s="566">
        <v>0</v>
      </c>
      <c r="N49" s="566">
        <v>0</v>
      </c>
      <c r="O49" s="566">
        <v>0</v>
      </c>
      <c r="P49" s="566">
        <v>1.4699070434782608</v>
      </c>
      <c r="Q49" s="567">
        <v>0.3704971178082192</v>
      </c>
      <c r="R49" s="566">
        <v>1.6058526222222222</v>
      </c>
      <c r="S49" s="566">
        <v>8.7598451428571433</v>
      </c>
      <c r="T49" s="563">
        <v>2458.1364998260869</v>
      </c>
      <c r="U49" s="563">
        <v>25126.130566322983</v>
      </c>
      <c r="V49" s="587">
        <v>6898.6581909785373</v>
      </c>
      <c r="W49" s="577"/>
    </row>
    <row r="50" spans="2:23" s="5" customFormat="1" ht="13.5" customHeight="1">
      <c r="B50" s="115" t="str">
        <f>names!A2012</f>
        <v>Norwegia</v>
      </c>
      <c r="C50" s="566" t="s">
        <v>249</v>
      </c>
      <c r="D50" s="566" t="s">
        <v>249</v>
      </c>
      <c r="E50" s="566" t="s">
        <v>249</v>
      </c>
      <c r="F50" s="566" t="s">
        <v>249</v>
      </c>
      <c r="G50" s="567" t="s">
        <v>249</v>
      </c>
      <c r="H50" s="566" t="s">
        <v>249</v>
      </c>
      <c r="I50" s="566" t="s">
        <v>249</v>
      </c>
      <c r="J50" s="566" t="s">
        <v>249</v>
      </c>
      <c r="K50" s="566" t="s">
        <v>249</v>
      </c>
      <c r="L50" s="567" t="s">
        <v>249</v>
      </c>
      <c r="M50" s="566" t="s">
        <v>249</v>
      </c>
      <c r="N50" s="566" t="s">
        <v>249</v>
      </c>
      <c r="O50" s="566" t="s">
        <v>249</v>
      </c>
      <c r="P50" s="566" t="s">
        <v>249</v>
      </c>
      <c r="Q50" s="567" t="s">
        <v>249</v>
      </c>
      <c r="R50" s="566" t="s">
        <v>249</v>
      </c>
      <c r="S50" s="566" t="s">
        <v>249</v>
      </c>
      <c r="T50" s="563">
        <v>3790.4981967213116</v>
      </c>
      <c r="U50" s="563">
        <v>4841.1727777413835</v>
      </c>
      <c r="V50" s="587">
        <v>4315.8354872313475</v>
      </c>
      <c r="W50" s="577"/>
    </row>
    <row r="51" spans="2:23" s="5" customFormat="1" ht="13.5" customHeight="1">
      <c r="B51" s="115" t="str">
        <f>names!A2013</f>
        <v>Litwa</v>
      </c>
      <c r="C51" s="566" t="s">
        <v>249</v>
      </c>
      <c r="D51" s="566" t="s">
        <v>249</v>
      </c>
      <c r="E51" s="566" t="s">
        <v>249</v>
      </c>
      <c r="F51" s="566" t="s">
        <v>249</v>
      </c>
      <c r="G51" s="567" t="s">
        <v>249</v>
      </c>
      <c r="H51" s="566" t="s">
        <v>249</v>
      </c>
      <c r="I51" s="566" t="s">
        <v>249</v>
      </c>
      <c r="J51" s="566" t="s">
        <v>249</v>
      </c>
      <c r="K51" s="566" t="s">
        <v>249</v>
      </c>
      <c r="L51" s="567" t="s">
        <v>249</v>
      </c>
      <c r="M51" s="566" t="s">
        <v>249</v>
      </c>
      <c r="N51" s="566" t="s">
        <v>249</v>
      </c>
      <c r="O51" s="566" t="s">
        <v>249</v>
      </c>
      <c r="P51" s="566" t="s">
        <v>249</v>
      </c>
      <c r="Q51" s="567" t="s">
        <v>249</v>
      </c>
      <c r="R51" s="566" t="s">
        <v>249</v>
      </c>
      <c r="S51" s="566" t="s">
        <v>249</v>
      </c>
      <c r="T51" s="563">
        <v>127.55737704918033</v>
      </c>
      <c r="U51" s="566" t="s">
        <v>249</v>
      </c>
      <c r="V51" s="587">
        <v>127.55737704918033</v>
      </c>
      <c r="W51" s="577"/>
    </row>
    <row r="52" spans="2:23" s="5" customFormat="1" ht="9" customHeight="1">
      <c r="B52" s="115"/>
      <c r="C52" s="566"/>
      <c r="D52" s="566"/>
      <c r="E52" s="566"/>
      <c r="F52" s="566"/>
      <c r="G52" s="567"/>
      <c r="H52" s="566"/>
      <c r="I52" s="566"/>
      <c r="J52" s="566"/>
      <c r="K52" s="566"/>
      <c r="L52" s="567"/>
      <c r="M52" s="566"/>
      <c r="N52" s="566"/>
      <c r="O52" s="566"/>
      <c r="P52" s="566"/>
      <c r="Q52" s="567"/>
      <c r="R52" s="566"/>
      <c r="S52" s="566"/>
      <c r="T52" s="563"/>
      <c r="U52" s="563"/>
      <c r="V52" s="587"/>
      <c r="W52" s="577"/>
    </row>
    <row r="53" spans="2:23" s="5" customFormat="1" ht="13.5" customHeight="1">
      <c r="B53" s="530" t="str">
        <f>names!A2015</f>
        <v>Sprzedaż gazu ziemnego (boe/d)</v>
      </c>
      <c r="C53" s="568">
        <v>9848.000824984978</v>
      </c>
      <c r="D53" s="568">
        <v>10041.73180162286</v>
      </c>
      <c r="E53" s="568">
        <v>9730.3036109011937</v>
      </c>
      <c r="F53" s="568">
        <v>9396.1120269661624</v>
      </c>
      <c r="G53" s="569">
        <v>9752.7339914523964</v>
      </c>
      <c r="H53" s="568">
        <v>9748.8368770979068</v>
      </c>
      <c r="I53" s="568">
        <v>10791.687192715663</v>
      </c>
      <c r="J53" s="568">
        <v>10352.513007444884</v>
      </c>
      <c r="K53" s="568">
        <v>9824.6189139744438</v>
      </c>
      <c r="L53" s="569">
        <v>10178.917560447031</v>
      </c>
      <c r="M53" s="568">
        <v>9595.2728149617669</v>
      </c>
      <c r="N53" s="568">
        <v>10050.223541705171</v>
      </c>
      <c r="O53" s="568">
        <v>9013.74177203211</v>
      </c>
      <c r="P53" s="568">
        <v>8968.5377727096438</v>
      </c>
      <c r="Q53" s="569">
        <v>9404.1496267341681</v>
      </c>
      <c r="R53" s="568">
        <v>8614.6171750320191</v>
      </c>
      <c r="S53" s="568">
        <v>9175.4656802612226</v>
      </c>
      <c r="T53" s="573">
        <v>12869.597659774539</v>
      </c>
      <c r="U53" s="573">
        <v>140125.39019636202</v>
      </c>
      <c r="V53" s="588">
        <v>63748.328666970716</v>
      </c>
      <c r="W53" s="577"/>
    </row>
    <row r="54" spans="2:23" s="5" customFormat="1" ht="13.5" customHeight="1">
      <c r="B54" s="115" t="str">
        <f>names!A2016</f>
        <v>Kanada</v>
      </c>
      <c r="C54" s="566">
        <v>8872.0414814814831</v>
      </c>
      <c r="D54" s="566">
        <v>9137.1379120879155</v>
      </c>
      <c r="E54" s="566">
        <v>8762.6590217391331</v>
      </c>
      <c r="F54" s="566">
        <v>8188.3365579710162</v>
      </c>
      <c r="G54" s="567">
        <v>8738.2325388127865</v>
      </c>
      <c r="H54" s="566">
        <v>8631.2800915750831</v>
      </c>
      <c r="I54" s="566">
        <v>9784.9202747252839</v>
      </c>
      <c r="J54" s="566">
        <v>9414.5102536231843</v>
      </c>
      <c r="K54" s="566">
        <v>8799.3219927536338</v>
      </c>
      <c r="L54" s="567">
        <v>9157.2316939890734</v>
      </c>
      <c r="M54" s="566">
        <v>8221.2175925926003</v>
      </c>
      <c r="N54" s="566">
        <v>8997.018443223451</v>
      </c>
      <c r="O54" s="566">
        <v>8049.2277355072501</v>
      </c>
      <c r="P54" s="566">
        <v>8008.1209057971</v>
      </c>
      <c r="Q54" s="567">
        <v>8317.5735251141596</v>
      </c>
      <c r="R54" s="566">
        <v>7784.7504444444503</v>
      </c>
      <c r="S54" s="566">
        <v>8334.1947435897328</v>
      </c>
      <c r="T54" s="563">
        <v>7654.619909420283</v>
      </c>
      <c r="U54" s="563">
        <v>7099.130507246372</v>
      </c>
      <c r="V54" s="587">
        <v>7718.1739011752097</v>
      </c>
      <c r="W54" s="577"/>
    </row>
    <row r="55" spans="2:23" s="5" customFormat="1" ht="13.5" customHeight="1">
      <c r="B55" s="115" t="str">
        <f>names!A2017</f>
        <v>Polska</v>
      </c>
      <c r="C55" s="566">
        <v>975.95934350349512</v>
      </c>
      <c r="D55" s="566">
        <v>904.59388953494465</v>
      </c>
      <c r="E55" s="566">
        <v>967.64458916206024</v>
      </c>
      <c r="F55" s="566">
        <v>1207.7754689951455</v>
      </c>
      <c r="G55" s="567">
        <v>1014.5014526396095</v>
      </c>
      <c r="H55" s="566">
        <v>1117.5567855228244</v>
      </c>
      <c r="I55" s="566">
        <v>1006.7669179903791</v>
      </c>
      <c r="J55" s="566">
        <v>938.00275382170048</v>
      </c>
      <c r="K55" s="566">
        <v>1025.2969212208093</v>
      </c>
      <c r="L55" s="567">
        <v>1021.6858664579574</v>
      </c>
      <c r="M55" s="566">
        <v>1374.055222369167</v>
      </c>
      <c r="N55" s="566">
        <v>1053.2050984817188</v>
      </c>
      <c r="O55" s="566">
        <v>964.51403652486022</v>
      </c>
      <c r="P55" s="566">
        <v>960.41686691254381</v>
      </c>
      <c r="Q55" s="567">
        <v>1086.5761016200072</v>
      </c>
      <c r="R55" s="566">
        <v>829.86673058756833</v>
      </c>
      <c r="S55" s="566">
        <v>841.27093667149029</v>
      </c>
      <c r="T55" s="563">
        <v>938.28922576409207</v>
      </c>
      <c r="U55" s="563">
        <v>62964.532276939906</v>
      </c>
      <c r="V55" s="587">
        <v>16393.489792490764</v>
      </c>
      <c r="W55" s="577"/>
    </row>
    <row r="56" spans="2:23" s="5" customFormat="1" ht="13.5" customHeight="1">
      <c r="B56" s="115" t="str">
        <f>names!A2018</f>
        <v>Pakistan</v>
      </c>
      <c r="C56" s="566" t="s">
        <v>249</v>
      </c>
      <c r="D56" s="566" t="s">
        <v>249</v>
      </c>
      <c r="E56" s="566" t="s">
        <v>249</v>
      </c>
      <c r="F56" s="566" t="s">
        <v>249</v>
      </c>
      <c r="G56" s="567" t="s">
        <v>249</v>
      </c>
      <c r="H56" s="566" t="s">
        <v>249</v>
      </c>
      <c r="I56" s="566" t="s">
        <v>249</v>
      </c>
      <c r="J56" s="566" t="s">
        <v>249</v>
      </c>
      <c r="K56" s="566" t="s">
        <v>249</v>
      </c>
      <c r="L56" s="567" t="s">
        <v>249</v>
      </c>
      <c r="M56" s="566" t="s">
        <v>249</v>
      </c>
      <c r="N56" s="566" t="s">
        <v>249</v>
      </c>
      <c r="O56" s="566" t="s">
        <v>249</v>
      </c>
      <c r="P56" s="566" t="s">
        <v>249</v>
      </c>
      <c r="Q56" s="567" t="s">
        <v>249</v>
      </c>
      <c r="R56" s="566" t="s">
        <v>249</v>
      </c>
      <c r="S56" s="566" t="s">
        <v>249</v>
      </c>
      <c r="T56" s="566" t="s">
        <v>249</v>
      </c>
      <c r="U56" s="563">
        <v>4934.914009843581</v>
      </c>
      <c r="V56" s="587">
        <v>4934.914009843581</v>
      </c>
      <c r="W56" s="577"/>
    </row>
    <row r="57" spans="2:23" s="5" customFormat="1" ht="13.5" customHeight="1">
      <c r="B57" s="115" t="str">
        <f>names!A2019</f>
        <v>Norwegia</v>
      </c>
      <c r="C57" s="566" t="s">
        <v>249</v>
      </c>
      <c r="D57" s="566" t="s">
        <v>249</v>
      </c>
      <c r="E57" s="566" t="s">
        <v>249</v>
      </c>
      <c r="F57" s="566" t="s">
        <v>249</v>
      </c>
      <c r="G57" s="567" t="s">
        <v>249</v>
      </c>
      <c r="H57" s="566" t="s">
        <v>249</v>
      </c>
      <c r="I57" s="566" t="s">
        <v>249</v>
      </c>
      <c r="J57" s="566" t="s">
        <v>249</v>
      </c>
      <c r="K57" s="566" t="s">
        <v>249</v>
      </c>
      <c r="L57" s="567" t="s">
        <v>249</v>
      </c>
      <c r="M57" s="566" t="s">
        <v>249</v>
      </c>
      <c r="N57" s="566" t="s">
        <v>249</v>
      </c>
      <c r="O57" s="566" t="s">
        <v>249</v>
      </c>
      <c r="P57" s="566" t="s">
        <v>249</v>
      </c>
      <c r="Q57" s="567" t="s">
        <v>249</v>
      </c>
      <c r="R57" s="566" t="s">
        <v>249</v>
      </c>
      <c r="S57" s="566" t="s">
        <v>249</v>
      </c>
      <c r="T57" s="563">
        <v>4276.688524590164</v>
      </c>
      <c r="U57" s="563">
        <v>65126.813402332162</v>
      </c>
      <c r="V57" s="587">
        <v>34701.750963461163</v>
      </c>
      <c r="W57" s="577"/>
    </row>
    <row r="58" spans="2:23" s="5" customFormat="1" ht="13.5" customHeight="1">
      <c r="B58" s="115" t="str">
        <f>names!A2020</f>
        <v>Litwa</v>
      </c>
      <c r="C58" s="566" t="s">
        <v>249</v>
      </c>
      <c r="D58" s="566" t="s">
        <v>249</v>
      </c>
      <c r="E58" s="566" t="s">
        <v>249</v>
      </c>
      <c r="F58" s="566" t="s">
        <v>249</v>
      </c>
      <c r="G58" s="567" t="s">
        <v>249</v>
      </c>
      <c r="H58" s="566" t="s">
        <v>249</v>
      </c>
      <c r="I58" s="566" t="s">
        <v>249</v>
      </c>
      <c r="J58" s="566" t="s">
        <v>249</v>
      </c>
      <c r="K58" s="566" t="s">
        <v>249</v>
      </c>
      <c r="L58" s="567" t="s">
        <v>249</v>
      </c>
      <c r="M58" s="566" t="s">
        <v>249</v>
      </c>
      <c r="N58" s="566" t="s">
        <v>249</v>
      </c>
      <c r="O58" s="566" t="s">
        <v>249</v>
      </c>
      <c r="P58" s="566" t="s">
        <v>249</v>
      </c>
      <c r="Q58" s="567" t="s">
        <v>249</v>
      </c>
      <c r="R58" s="566" t="s">
        <v>249</v>
      </c>
      <c r="S58" s="566" t="s">
        <v>249</v>
      </c>
      <c r="T58" s="566" t="s">
        <v>249</v>
      </c>
      <c r="U58" s="566" t="s">
        <v>249</v>
      </c>
      <c r="V58" s="587" t="s">
        <v>657</v>
      </c>
      <c r="W58" s="577"/>
    </row>
    <row r="59" spans="2:23" s="5" customFormat="1" ht="9" customHeight="1">
      <c r="B59" s="115"/>
      <c r="C59" s="566"/>
      <c r="D59" s="566"/>
      <c r="E59" s="566"/>
      <c r="F59" s="566"/>
      <c r="G59" s="567"/>
      <c r="H59" s="566"/>
      <c r="I59" s="566"/>
      <c r="J59" s="566"/>
      <c r="K59" s="566"/>
      <c r="L59" s="567"/>
      <c r="M59" s="566"/>
      <c r="N59" s="566"/>
      <c r="O59" s="566"/>
      <c r="P59" s="566"/>
      <c r="Q59" s="567"/>
      <c r="R59" s="566"/>
      <c r="S59" s="566"/>
      <c r="T59" s="563"/>
      <c r="U59" s="563"/>
      <c r="V59" s="587"/>
      <c r="W59" s="577"/>
    </row>
    <row r="60" spans="2:23" s="5" customFormat="1" ht="13.5" customHeight="1">
      <c r="B60" s="530" t="str">
        <f>names!A2022</f>
        <v>Sprzedaż NGL (Natural Gas Liquids) (boe/d)</v>
      </c>
      <c r="C60" s="568">
        <v>7279.9806666666691</v>
      </c>
      <c r="D60" s="568">
        <v>6238.5696703296662</v>
      </c>
      <c r="E60" s="568">
        <v>6171.050108695651</v>
      </c>
      <c r="F60" s="568">
        <v>6431.778695652175</v>
      </c>
      <c r="G60" s="569">
        <v>6527.0365753424649</v>
      </c>
      <c r="H60" s="568">
        <v>7296.9665934065933</v>
      </c>
      <c r="I60" s="568">
        <v>5817.7612087912112</v>
      </c>
      <c r="J60" s="568">
        <v>4907.4328260869543</v>
      </c>
      <c r="K60" s="568">
        <v>5086.3123913043473</v>
      </c>
      <c r="L60" s="569">
        <v>5772.8546174863386</v>
      </c>
      <c r="M60" s="568">
        <v>5488.1696666666703</v>
      </c>
      <c r="N60" s="568">
        <v>6807.74879120879</v>
      </c>
      <c r="O60" s="568">
        <v>6879.7141304347797</v>
      </c>
      <c r="P60" s="568">
        <v>5841.7114130434802</v>
      </c>
      <c r="Q60" s="569">
        <v>6257.01797260274</v>
      </c>
      <c r="R60" s="568">
        <v>5649.0540000000001</v>
      </c>
      <c r="S60" s="568">
        <v>6597.5808791208819</v>
      </c>
      <c r="T60" s="573">
        <v>6028.0855434782598</v>
      </c>
      <c r="U60" s="573">
        <v>9618.9499038309441</v>
      </c>
      <c r="V60" s="588">
        <v>9955.6744660024669</v>
      </c>
      <c r="W60" s="577"/>
    </row>
    <row r="61" spans="2:23" s="5" customFormat="1" ht="13.5" customHeight="1">
      <c r="B61" s="115" t="str">
        <f>names!A2023</f>
        <v>Kanada</v>
      </c>
      <c r="C61" s="566">
        <v>7279.9806666666691</v>
      </c>
      <c r="D61" s="566">
        <v>6238.5696703296662</v>
      </c>
      <c r="E61" s="566">
        <v>6171.050108695651</v>
      </c>
      <c r="F61" s="566">
        <v>6431.778695652175</v>
      </c>
      <c r="G61" s="567">
        <v>6527.0365753424649</v>
      </c>
      <c r="H61" s="566">
        <v>7296.9665934065933</v>
      </c>
      <c r="I61" s="566">
        <v>5817.7612087912112</v>
      </c>
      <c r="J61" s="566">
        <v>4907.4328260869543</v>
      </c>
      <c r="K61" s="566">
        <v>5086.3123913043473</v>
      </c>
      <c r="L61" s="567">
        <v>5772.8546174863386</v>
      </c>
      <c r="M61" s="566">
        <v>5488.1696666666703</v>
      </c>
      <c r="N61" s="566">
        <v>6807.74879120879</v>
      </c>
      <c r="O61" s="566">
        <v>6879.7141304347797</v>
      </c>
      <c r="P61" s="566">
        <v>5841.7114130434802</v>
      </c>
      <c r="Q61" s="567">
        <v>6257.01797260274</v>
      </c>
      <c r="R61" s="566">
        <v>5649.0540000000001</v>
      </c>
      <c r="S61" s="566">
        <v>6597.5808791208819</v>
      </c>
      <c r="T61" s="563">
        <v>6028.0855434782598</v>
      </c>
      <c r="U61" s="563">
        <v>5642.6073913043501</v>
      </c>
      <c r="V61" s="587">
        <v>5979.331953475873</v>
      </c>
      <c r="W61" s="577"/>
    </row>
    <row r="62" spans="2:23" s="5" customFormat="1" ht="13.5" customHeight="1">
      <c r="B62" s="115" t="str">
        <f>names!A2024</f>
        <v>Polska</v>
      </c>
      <c r="C62" s="566">
        <v>0</v>
      </c>
      <c r="D62" s="566">
        <v>0</v>
      </c>
      <c r="E62" s="566">
        <v>0</v>
      </c>
      <c r="F62" s="566">
        <v>0</v>
      </c>
      <c r="G62" s="567">
        <v>0</v>
      </c>
      <c r="H62" s="566">
        <v>0</v>
      </c>
      <c r="I62" s="566">
        <v>0</v>
      </c>
      <c r="J62" s="566">
        <v>0</v>
      </c>
      <c r="K62" s="566">
        <v>0</v>
      </c>
      <c r="L62" s="567">
        <v>0</v>
      </c>
      <c r="M62" s="566">
        <v>0</v>
      </c>
      <c r="N62" s="566">
        <v>0</v>
      </c>
      <c r="O62" s="566">
        <v>0</v>
      </c>
      <c r="P62" s="566">
        <v>0</v>
      </c>
      <c r="Q62" s="567">
        <v>0</v>
      </c>
      <c r="R62" s="566">
        <v>0</v>
      </c>
      <c r="S62" s="566">
        <v>0</v>
      </c>
      <c r="T62" s="566" t="s">
        <v>249</v>
      </c>
      <c r="U62" s="566" t="s">
        <v>249</v>
      </c>
      <c r="V62" s="587" t="s">
        <v>657</v>
      </c>
      <c r="W62" s="577"/>
    </row>
    <row r="63" spans="2:23" s="5" customFormat="1" ht="13.5" customHeight="1">
      <c r="B63" s="115" t="str">
        <f>names!A2025</f>
        <v>Norwegia</v>
      </c>
      <c r="C63" s="566" t="s">
        <v>249</v>
      </c>
      <c r="D63" s="566" t="s">
        <v>249</v>
      </c>
      <c r="E63" s="566" t="s">
        <v>249</v>
      </c>
      <c r="F63" s="566" t="s">
        <v>249</v>
      </c>
      <c r="G63" s="567" t="s">
        <v>249</v>
      </c>
      <c r="H63" s="566" t="s">
        <v>249</v>
      </c>
      <c r="I63" s="566" t="s">
        <v>249</v>
      </c>
      <c r="J63" s="566" t="s">
        <v>249</v>
      </c>
      <c r="K63" s="566" t="s">
        <v>249</v>
      </c>
      <c r="L63" s="567" t="s">
        <v>249</v>
      </c>
      <c r="M63" s="566" t="s">
        <v>249</v>
      </c>
      <c r="N63" s="566" t="s">
        <v>249</v>
      </c>
      <c r="O63" s="566" t="s">
        <v>249</v>
      </c>
      <c r="P63" s="566" t="s">
        <v>249</v>
      </c>
      <c r="Q63" s="567" t="s">
        <v>249</v>
      </c>
      <c r="R63" s="566" t="s">
        <v>249</v>
      </c>
      <c r="S63" s="566" t="s">
        <v>249</v>
      </c>
      <c r="T63" s="566" t="s">
        <v>249</v>
      </c>
      <c r="U63" s="563">
        <v>3976.342512526594</v>
      </c>
      <c r="V63" s="587">
        <v>3976.342512526594</v>
      </c>
      <c r="W63" s="577"/>
    </row>
    <row r="64" spans="2:23" s="5" customFormat="1" ht="13.5" customHeight="1">
      <c r="B64" s="115" t="str">
        <f>names!A2026</f>
        <v>Litwa</v>
      </c>
      <c r="C64" s="566" t="s">
        <v>249</v>
      </c>
      <c r="D64" s="566" t="s">
        <v>249</v>
      </c>
      <c r="E64" s="566" t="s">
        <v>249</v>
      </c>
      <c r="F64" s="566" t="s">
        <v>249</v>
      </c>
      <c r="G64" s="567" t="s">
        <v>249</v>
      </c>
      <c r="H64" s="566" t="s">
        <v>249</v>
      </c>
      <c r="I64" s="566" t="s">
        <v>249</v>
      </c>
      <c r="J64" s="566" t="s">
        <v>249</v>
      </c>
      <c r="K64" s="566" t="s">
        <v>249</v>
      </c>
      <c r="L64" s="567" t="s">
        <v>249</v>
      </c>
      <c r="M64" s="566" t="s">
        <v>249</v>
      </c>
      <c r="N64" s="566" t="s">
        <v>249</v>
      </c>
      <c r="O64" s="566" t="s">
        <v>249</v>
      </c>
      <c r="P64" s="566" t="s">
        <v>249</v>
      </c>
      <c r="Q64" s="567" t="s">
        <v>249</v>
      </c>
      <c r="R64" s="566" t="s">
        <v>249</v>
      </c>
      <c r="S64" s="566" t="s">
        <v>249</v>
      </c>
      <c r="T64" s="566" t="s">
        <v>249</v>
      </c>
      <c r="U64" s="566" t="s">
        <v>249</v>
      </c>
      <c r="V64" s="587" t="s">
        <v>657</v>
      </c>
      <c r="W64" s="577"/>
    </row>
    <row r="65" spans="1:23" s="5" customFormat="1" ht="9" customHeight="1">
      <c r="B65" s="115"/>
      <c r="C65" s="566"/>
      <c r="D65" s="566"/>
      <c r="E65" s="566"/>
      <c r="F65" s="566"/>
      <c r="G65" s="567"/>
      <c r="H65" s="566"/>
      <c r="I65" s="566"/>
      <c r="J65" s="566"/>
      <c r="K65" s="566"/>
      <c r="L65" s="567"/>
      <c r="M65" s="566"/>
      <c r="N65" s="566"/>
      <c r="O65" s="566"/>
      <c r="P65" s="566"/>
      <c r="Q65" s="567"/>
      <c r="R65" s="566"/>
      <c r="S65" s="566"/>
      <c r="T65" s="563"/>
      <c r="U65" s="563"/>
      <c r="V65" s="587"/>
      <c r="W65" s="577"/>
    </row>
    <row r="66" spans="1:23" s="5" customFormat="1" ht="13.5" customHeight="1">
      <c r="B66" s="530" t="str">
        <f>names!A2028</f>
        <v>Zasoby 2P na ostatni dzień okresu (mln boe)</v>
      </c>
      <c r="C66" s="568">
        <v>208.9</v>
      </c>
      <c r="D66" s="568">
        <v>207.27737380605234</v>
      </c>
      <c r="E66" s="568">
        <v>205.64949737384941</v>
      </c>
      <c r="F66" s="568">
        <v>197.3</v>
      </c>
      <c r="G66" s="569">
        <v>204.75231445135591</v>
      </c>
      <c r="H66" s="568">
        <v>195.45632139762631</v>
      </c>
      <c r="I66" s="568">
        <v>193.74713285308917</v>
      </c>
      <c r="J66" s="568">
        <v>192.19367523640426</v>
      </c>
      <c r="K66" s="568">
        <v>174.04947805393368</v>
      </c>
      <c r="L66" s="569">
        <v>188.83028535389673</v>
      </c>
      <c r="M66" s="568">
        <v>172.59586102058711</v>
      </c>
      <c r="N66" s="568">
        <v>170.97448690829194</v>
      </c>
      <c r="O66" s="568">
        <v>169.417364435265</v>
      </c>
      <c r="P66" s="568">
        <v>171.459</v>
      </c>
      <c r="Q66" s="569">
        <v>171.10392144808708</v>
      </c>
      <c r="R66" s="568">
        <v>169.96071791908739</v>
      </c>
      <c r="S66" s="568">
        <v>168.27092660759246</v>
      </c>
      <c r="T66" s="573">
        <v>223.51263384448939</v>
      </c>
      <c r="U66" s="573">
        <v>1278.1725584600001</v>
      </c>
      <c r="V66" s="588">
        <v>1278.1725584600001</v>
      </c>
      <c r="W66" s="577"/>
    </row>
    <row r="67" spans="1:23" s="5" customFormat="1" ht="13.5" customHeight="1">
      <c r="B67" s="115" t="str">
        <f>names!A2029</f>
        <v>Kanada</v>
      </c>
      <c r="C67" s="566">
        <v>196</v>
      </c>
      <c r="D67" s="566">
        <v>194.45969185000001</v>
      </c>
      <c r="E67" s="566">
        <v>192.92083872000001</v>
      </c>
      <c r="F67" s="566">
        <v>186.3</v>
      </c>
      <c r="G67" s="567">
        <v>192.39492909750686</v>
      </c>
      <c r="H67" s="566">
        <v>184.55815901166667</v>
      </c>
      <c r="I67" s="566">
        <v>182.94058625666668</v>
      </c>
      <c r="J67" s="566">
        <v>181.47342489333334</v>
      </c>
      <c r="K67" s="566">
        <v>163.90369999999999</v>
      </c>
      <c r="L67" s="567">
        <v>178.18874674755463</v>
      </c>
      <c r="M67" s="566">
        <v>162.57374793666665</v>
      </c>
      <c r="N67" s="566">
        <v>161.04821548833331</v>
      </c>
      <c r="O67" s="566">
        <v>159.57982830666666</v>
      </c>
      <c r="P67" s="566">
        <v>162.84899999999999</v>
      </c>
      <c r="Q67" s="567">
        <v>161.50815651493608</v>
      </c>
      <c r="R67" s="566">
        <v>161.46370926999998</v>
      </c>
      <c r="S67" s="566">
        <v>159.9036718983333</v>
      </c>
      <c r="T67" s="563">
        <v>158.50602885666663</v>
      </c>
      <c r="U67" s="563">
        <v>157.98599999999999</v>
      </c>
      <c r="V67" s="587">
        <v>157.98599999999999</v>
      </c>
      <c r="W67" s="577"/>
    </row>
    <row r="68" spans="1:23" s="5" customFormat="1" ht="13.5" customHeight="1">
      <c r="B68" s="115" t="str">
        <f>names!A2030</f>
        <v>Polska</v>
      </c>
      <c r="C68" s="566">
        <v>12.9</v>
      </c>
      <c r="D68" s="566">
        <v>12.81768195605232</v>
      </c>
      <c r="E68" s="566">
        <v>12.728658653849411</v>
      </c>
      <c r="F68" s="566">
        <v>11</v>
      </c>
      <c r="G68" s="567">
        <v>12.357385353849061</v>
      </c>
      <c r="H68" s="566">
        <v>10.898162385959623</v>
      </c>
      <c r="I68" s="566">
        <v>10.806546596422498</v>
      </c>
      <c r="J68" s="566">
        <v>10.720250343070902</v>
      </c>
      <c r="K68" s="566">
        <v>10.145778053933686</v>
      </c>
      <c r="L68" s="567">
        <v>10.641538606342063</v>
      </c>
      <c r="M68" s="566">
        <v>10.022113083920461</v>
      </c>
      <c r="N68" s="566">
        <v>9.9262714199586242</v>
      </c>
      <c r="O68" s="566">
        <v>9.8375361285983374</v>
      </c>
      <c r="P68" s="566">
        <v>8.61</v>
      </c>
      <c r="Q68" s="567">
        <v>9.5957649331510222</v>
      </c>
      <c r="R68" s="566">
        <v>8.4970086490874142</v>
      </c>
      <c r="S68" s="566">
        <v>8.3672547092591429</v>
      </c>
      <c r="T68" s="563">
        <v>39.819885987822751</v>
      </c>
      <c r="U68" s="563">
        <v>733.57519146000004</v>
      </c>
      <c r="V68" s="587">
        <v>733.57519146000004</v>
      </c>
      <c r="W68" s="577"/>
    </row>
    <row r="69" spans="1:23" s="5" customFormat="1" ht="13.5" customHeight="1">
      <c r="B69" s="115" t="str">
        <f>names!A2031</f>
        <v>Pakistan</v>
      </c>
      <c r="C69" s="566" t="s">
        <v>249</v>
      </c>
      <c r="D69" s="566" t="s">
        <v>249</v>
      </c>
      <c r="E69" s="566" t="s">
        <v>249</v>
      </c>
      <c r="F69" s="566" t="s">
        <v>249</v>
      </c>
      <c r="G69" s="567" t="s">
        <v>249</v>
      </c>
      <c r="H69" s="566" t="s">
        <v>249</v>
      </c>
      <c r="I69" s="566" t="s">
        <v>249</v>
      </c>
      <c r="J69" s="566" t="s">
        <v>249</v>
      </c>
      <c r="K69" s="566" t="s">
        <v>249</v>
      </c>
      <c r="L69" s="567" t="s">
        <v>249</v>
      </c>
      <c r="M69" s="566" t="s">
        <v>249</v>
      </c>
      <c r="N69" s="566" t="s">
        <v>249</v>
      </c>
      <c r="O69" s="566" t="s">
        <v>249</v>
      </c>
      <c r="P69" s="566" t="s">
        <v>249</v>
      </c>
      <c r="Q69" s="567" t="s">
        <v>249</v>
      </c>
      <c r="R69" s="566" t="s">
        <v>249</v>
      </c>
      <c r="S69" s="566" t="s">
        <v>249</v>
      </c>
      <c r="T69" s="566" t="s">
        <v>249</v>
      </c>
      <c r="U69" s="563">
        <v>38.729999999999997</v>
      </c>
      <c r="V69" s="587">
        <v>38.729999999999997</v>
      </c>
      <c r="W69" s="577"/>
    </row>
    <row r="70" spans="1:23" s="5" customFormat="1" ht="13.5" customHeight="1">
      <c r="B70" s="115" t="str">
        <f>names!A2032</f>
        <v>Norwegia</v>
      </c>
      <c r="C70" s="566" t="s">
        <v>249</v>
      </c>
      <c r="D70" s="566" t="s">
        <v>249</v>
      </c>
      <c r="E70" s="566" t="s">
        <v>249</v>
      </c>
      <c r="F70" s="566" t="s">
        <v>249</v>
      </c>
      <c r="G70" s="567" t="s">
        <v>249</v>
      </c>
      <c r="H70" s="566" t="s">
        <v>249</v>
      </c>
      <c r="I70" s="566" t="s">
        <v>249</v>
      </c>
      <c r="J70" s="566" t="s">
        <v>249</v>
      </c>
      <c r="K70" s="566" t="s">
        <v>249</v>
      </c>
      <c r="L70" s="567" t="s">
        <v>249</v>
      </c>
      <c r="M70" s="566" t="s">
        <v>249</v>
      </c>
      <c r="N70" s="566" t="s">
        <v>249</v>
      </c>
      <c r="O70" s="566" t="s">
        <v>249</v>
      </c>
      <c r="P70" s="566" t="s">
        <v>249</v>
      </c>
      <c r="Q70" s="567" t="s">
        <v>249</v>
      </c>
      <c r="R70" s="566" t="s">
        <v>249</v>
      </c>
      <c r="S70" s="566" t="s">
        <v>249</v>
      </c>
      <c r="T70" s="563">
        <v>23.014218</v>
      </c>
      <c r="U70" s="563">
        <v>346.62846000000002</v>
      </c>
      <c r="V70" s="587">
        <v>346.62846000000002</v>
      </c>
      <c r="W70" s="577"/>
    </row>
    <row r="71" spans="1:23" s="5" customFormat="1" ht="13.5" customHeight="1">
      <c r="B71" s="115" t="str">
        <f>names!A2033</f>
        <v>Litwa</v>
      </c>
      <c r="C71" s="566" t="s">
        <v>249</v>
      </c>
      <c r="D71" s="566" t="s">
        <v>249</v>
      </c>
      <c r="E71" s="566" t="s">
        <v>249</v>
      </c>
      <c r="F71" s="566" t="s">
        <v>249</v>
      </c>
      <c r="G71" s="567" t="s">
        <v>249</v>
      </c>
      <c r="H71" s="566" t="s">
        <v>249</v>
      </c>
      <c r="I71" s="566" t="s">
        <v>249</v>
      </c>
      <c r="J71" s="566" t="s">
        <v>249</v>
      </c>
      <c r="K71" s="566" t="s">
        <v>249</v>
      </c>
      <c r="L71" s="567" t="s">
        <v>249</v>
      </c>
      <c r="M71" s="566" t="s">
        <v>249</v>
      </c>
      <c r="N71" s="566" t="s">
        <v>249</v>
      </c>
      <c r="O71" s="566" t="s">
        <v>249</v>
      </c>
      <c r="P71" s="566" t="s">
        <v>249</v>
      </c>
      <c r="Q71" s="567" t="s">
        <v>249</v>
      </c>
      <c r="R71" s="566" t="s">
        <v>249</v>
      </c>
      <c r="S71" s="566" t="s">
        <v>249</v>
      </c>
      <c r="T71" s="563">
        <v>2.172501</v>
      </c>
      <c r="U71" s="563">
        <v>1.252907</v>
      </c>
      <c r="V71" s="587">
        <v>1.252907</v>
      </c>
      <c r="W71" s="577"/>
    </row>
    <row r="72" spans="1:23" s="5" customFormat="1" ht="9" customHeight="1" thickBot="1">
      <c r="B72" s="41"/>
      <c r="C72" s="143"/>
      <c r="D72" s="143"/>
      <c r="E72" s="143"/>
      <c r="F72" s="143"/>
      <c r="G72" s="264"/>
      <c r="H72" s="143"/>
      <c r="I72" s="143"/>
      <c r="J72" s="143"/>
      <c r="K72" s="143"/>
      <c r="L72" s="264"/>
      <c r="M72" s="143"/>
      <c r="N72" s="143"/>
      <c r="O72" s="143"/>
      <c r="P72" s="143"/>
      <c r="Q72" s="264"/>
      <c r="R72" s="143"/>
      <c r="S72" s="143"/>
      <c r="T72" s="143"/>
      <c r="U72" s="143"/>
      <c r="V72" s="264"/>
      <c r="W72" s="577"/>
    </row>
    <row r="73" spans="1:23" ht="4.5" customHeight="1" thickBot="1">
      <c r="A73" s="750"/>
      <c r="B73" s="757"/>
      <c r="C73" s="758"/>
      <c r="D73" s="750"/>
      <c r="E73" s="750"/>
      <c r="F73" s="750"/>
      <c r="G73" s="750"/>
      <c r="H73" s="758"/>
      <c r="I73" s="750"/>
      <c r="J73" s="750"/>
      <c r="K73" s="750"/>
      <c r="L73" s="750"/>
      <c r="M73" s="758"/>
      <c r="N73" s="750"/>
      <c r="O73" s="750"/>
      <c r="P73" s="750"/>
      <c r="Q73" s="750"/>
      <c r="R73" s="750"/>
      <c r="S73" s="750"/>
      <c r="T73" s="750"/>
      <c r="U73" s="750"/>
      <c r="V73" s="750"/>
      <c r="W73" s="577"/>
    </row>
    <row r="74" spans="1:23">
      <c r="A74" s="750"/>
      <c r="B74" s="754" t="str">
        <f>names!A2036</f>
        <v>*) Od maja 2020 roku z uwzględnieniem wolumenów Grupy ENERGA. Od sierpnia 2022 roku z uwzględnieniem wolumenów Grupy exLOTOS.</v>
      </c>
      <c r="C74" s="750"/>
      <c r="D74" s="750"/>
      <c r="E74" s="750"/>
      <c r="F74" s="750"/>
      <c r="G74" s="750"/>
      <c r="H74" s="750"/>
      <c r="I74" s="750"/>
      <c r="J74" s="750"/>
      <c r="K74" s="750"/>
      <c r="L74" s="750"/>
      <c r="M74" s="750"/>
      <c r="N74" s="750"/>
      <c r="O74" s="750"/>
      <c r="P74" s="750"/>
      <c r="Q74" s="750"/>
      <c r="R74" s="750"/>
      <c r="S74" s="750"/>
      <c r="T74" s="750"/>
      <c r="U74" s="750"/>
      <c r="V74" s="750"/>
      <c r="W74" s="577"/>
    </row>
    <row r="75" spans="1:23">
      <c r="A75" s="750"/>
      <c r="B75" s="754" t="str">
        <f>names!A2037</f>
        <v>**) Sprzedaż do odbiorców spoza GK ORLEN</v>
      </c>
      <c r="C75" s="750"/>
      <c r="D75" s="750"/>
      <c r="E75" s="750"/>
      <c r="F75" s="750"/>
      <c r="G75" s="750"/>
      <c r="H75" s="750"/>
      <c r="I75" s="750"/>
      <c r="J75" s="750"/>
      <c r="K75" s="750"/>
      <c r="L75" s="750"/>
      <c r="M75" s="750"/>
      <c r="N75" s="750"/>
      <c r="O75" s="750"/>
      <c r="P75" s="750"/>
      <c r="Q75" s="750"/>
      <c r="R75" s="750"/>
      <c r="S75" s="750"/>
      <c r="T75" s="750"/>
      <c r="U75" s="750"/>
      <c r="V75" s="750"/>
      <c r="W75" s="577"/>
    </row>
    <row r="76" spans="1:23">
      <c r="A76" s="750"/>
      <c r="B76" s="754" t="str">
        <f>names!A2038</f>
        <v>***) Produkcja energii elektrycznej w ESP Żydowo</v>
      </c>
      <c r="C76" s="750"/>
      <c r="D76" s="750"/>
      <c r="E76" s="750"/>
      <c r="F76" s="750"/>
      <c r="G76" s="750"/>
      <c r="H76" s="750"/>
      <c r="I76" s="750"/>
      <c r="J76" s="750"/>
      <c r="K76" s="750"/>
      <c r="L76" s="750"/>
      <c r="M76" s="750"/>
      <c r="N76" s="750"/>
      <c r="O76" s="750"/>
      <c r="P76" s="750"/>
      <c r="Q76" s="750"/>
      <c r="R76" s="750"/>
      <c r="S76" s="750"/>
      <c r="T76" s="750"/>
      <c r="U76" s="750"/>
      <c r="V76" s="750"/>
      <c r="W76" s="577"/>
    </row>
    <row r="77" spans="1:23">
      <c r="A77" s="750"/>
      <c r="B77" s="750"/>
      <c r="C77" s="750"/>
      <c r="D77" s="750"/>
      <c r="E77" s="750"/>
      <c r="F77" s="750"/>
      <c r="G77" s="750"/>
      <c r="H77" s="750"/>
      <c r="I77" s="750"/>
      <c r="J77" s="750"/>
      <c r="K77" s="750"/>
      <c r="L77" s="750"/>
      <c r="M77" s="750"/>
      <c r="N77" s="750"/>
      <c r="O77" s="750"/>
      <c r="P77" s="750"/>
      <c r="Q77" s="750"/>
      <c r="R77" s="750"/>
      <c r="S77" s="750"/>
      <c r="T77" s="750"/>
      <c r="U77" s="750"/>
      <c r="V77" s="750"/>
      <c r="W77" s="577"/>
    </row>
    <row r="78" spans="1:23">
      <c r="A78" s="750"/>
      <c r="B78" s="750"/>
      <c r="C78" s="750"/>
      <c r="D78" s="750"/>
      <c r="E78" s="750"/>
      <c r="F78" s="750"/>
      <c r="G78" s="750"/>
      <c r="H78" s="750"/>
      <c r="I78" s="750"/>
      <c r="J78" s="750"/>
      <c r="K78" s="750"/>
      <c r="L78" s="750"/>
      <c r="M78" s="750"/>
      <c r="N78" s="750"/>
      <c r="O78" s="750"/>
      <c r="P78" s="750"/>
      <c r="Q78" s="750"/>
      <c r="R78" s="750"/>
      <c r="S78" s="750"/>
      <c r="T78" s="750"/>
      <c r="U78" s="750"/>
      <c r="V78" s="750"/>
      <c r="W78" s="577"/>
    </row>
    <row r="79" spans="1:23">
      <c r="A79" s="750"/>
      <c r="B79" s="750"/>
      <c r="C79" s="750"/>
      <c r="D79" s="750"/>
      <c r="E79" s="750"/>
      <c r="F79" s="750"/>
      <c r="G79" s="750"/>
      <c r="H79" s="750"/>
      <c r="I79" s="750"/>
      <c r="J79" s="750"/>
      <c r="K79" s="750"/>
      <c r="L79" s="750"/>
      <c r="M79" s="750"/>
      <c r="N79" s="750"/>
      <c r="O79" s="750"/>
      <c r="P79" s="750"/>
      <c r="Q79" s="750"/>
      <c r="R79" s="750"/>
      <c r="S79" s="750"/>
      <c r="T79" s="750"/>
      <c r="U79" s="750"/>
      <c r="V79" s="750"/>
      <c r="W79" s="577"/>
    </row>
    <row r="80" spans="1:23">
      <c r="A80" s="750"/>
      <c r="B80" s="750"/>
      <c r="C80" s="750"/>
      <c r="D80" s="750"/>
      <c r="E80" s="750"/>
      <c r="F80" s="750"/>
      <c r="G80" s="750"/>
      <c r="H80" s="750"/>
      <c r="I80" s="750"/>
      <c r="J80" s="750"/>
      <c r="K80" s="750"/>
      <c r="L80" s="750"/>
      <c r="M80" s="750"/>
      <c r="N80" s="750"/>
      <c r="O80" s="750"/>
      <c r="P80" s="750"/>
      <c r="Q80" s="750"/>
      <c r="R80" s="750"/>
      <c r="S80" s="750"/>
      <c r="T80" s="750"/>
      <c r="U80" s="750"/>
      <c r="V80" s="750"/>
      <c r="W80" s="577"/>
    </row>
    <row r="81" spans="1:23">
      <c r="A81" s="750"/>
      <c r="B81" s="750"/>
      <c r="C81" s="750"/>
      <c r="D81" s="750"/>
      <c r="E81" s="750"/>
      <c r="F81" s="750"/>
      <c r="G81" s="750"/>
      <c r="H81" s="750"/>
      <c r="I81" s="750"/>
      <c r="J81" s="750"/>
      <c r="K81" s="750"/>
      <c r="L81" s="750"/>
      <c r="M81" s="750"/>
      <c r="N81" s="750"/>
      <c r="O81" s="750"/>
      <c r="P81" s="750"/>
      <c r="Q81" s="750"/>
      <c r="R81" s="750"/>
      <c r="S81" s="750"/>
      <c r="T81" s="750"/>
      <c r="U81" s="750"/>
      <c r="V81" s="750"/>
      <c r="W81" s="577"/>
    </row>
    <row r="83" spans="1:23">
      <c r="B83" s="577"/>
      <c r="C83" s="577"/>
      <c r="D83" s="577"/>
      <c r="E83" s="577"/>
      <c r="F83" s="577"/>
      <c r="G83" s="577"/>
      <c r="H83" s="577"/>
      <c r="I83" s="577"/>
      <c r="J83" s="577"/>
      <c r="K83" s="577"/>
      <c r="L83" s="577"/>
      <c r="M83" s="577"/>
      <c r="N83" s="577"/>
      <c r="O83" s="577"/>
      <c r="P83" s="577"/>
      <c r="Q83" s="577"/>
      <c r="R83" s="577"/>
      <c r="S83" s="577"/>
      <c r="T83" s="577"/>
      <c r="U83" s="577"/>
      <c r="V83" s="577"/>
    </row>
  </sheetData>
  <conditionalFormatting sqref="B75:B76">
    <cfRule type="cellIs" dxfId="4" priority="3" operator="equal">
      <formula>0</formula>
    </cfRule>
  </conditionalFormatting>
  <conditionalFormatting sqref="B83:V83">
    <cfRule type="cellIs" dxfId="3" priority="2" operator="equal">
      <formula>FALSE</formula>
    </cfRule>
  </conditionalFormatting>
  <conditionalFormatting sqref="W2:W81">
    <cfRule type="cellIs" dxfId="2" priority="1" operator="equal">
      <formula>FALSE</formula>
    </cfRule>
  </conditionalFormatting>
  <pageMargins left="0.70866141732283472" right="0.70866141732283472" top="0.74803149606299213" bottom="0.74803149606299213" header="0.31496062992125984" footer="0.31496062992125984"/>
  <pageSetup paperSize="9" scale="4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0" tint="-0.34998626667073579"/>
    <pageSetUpPr fitToPage="1"/>
  </sheetPr>
  <dimension ref="A2:I40"/>
  <sheetViews>
    <sheetView view="pageBreakPreview" zoomScaleNormal="100" zoomScaleSheetLayoutView="100" workbookViewId="0">
      <pane xSplit="2" ySplit="4" topLeftCell="C5" activePane="bottomRight" state="frozen"/>
      <selection activeCell="B7" sqref="B7"/>
      <selection pane="topRight" activeCell="B7" sqref="B7"/>
      <selection pane="bottomLeft" activeCell="B7" sqref="B7"/>
      <selection pane="bottomRight"/>
    </sheetView>
  </sheetViews>
  <sheetFormatPr defaultColWidth="9.42578125" defaultRowHeight="12.75"/>
  <cols>
    <col min="1" max="1" width="1.28515625" customWidth="1"/>
    <col min="2" max="2" width="45.7109375" customWidth="1"/>
    <col min="3" max="8" width="9.5703125" customWidth="1"/>
  </cols>
  <sheetData>
    <row r="2" spans="1:9" ht="15.75">
      <c r="A2" s="750"/>
      <c r="B2" s="751" t="str">
        <f>names!A2050</f>
        <v>Wybrane dane operacyjne spółek dawnej Grupy PGNiG</v>
      </c>
      <c r="C2" s="751"/>
      <c r="D2" s="750"/>
      <c r="E2" s="750"/>
      <c r="F2" s="750"/>
      <c r="G2" s="750"/>
      <c r="H2" s="750"/>
      <c r="I2" s="577"/>
    </row>
    <row r="3" spans="1:9" ht="10.15" customHeight="1">
      <c r="A3" s="750"/>
      <c r="B3" s="752"/>
      <c r="C3" s="752"/>
      <c r="D3" s="750"/>
      <c r="E3" s="750"/>
      <c r="F3" s="750"/>
      <c r="G3" s="750"/>
      <c r="H3" s="750"/>
      <c r="I3" s="577"/>
    </row>
    <row r="4" spans="1:9" ht="26.25" customHeight="1">
      <c r="A4" s="750"/>
      <c r="B4" s="15" t="str">
        <f>names!A2052</f>
        <v>Wyszczególnienie</v>
      </c>
      <c r="C4" s="15" t="str">
        <f>names!A2087</f>
        <v>j.m.</v>
      </c>
      <c r="D4" s="15" t="str">
        <f>names!$A2089</f>
        <v>IV kw. 
2021</v>
      </c>
      <c r="E4" s="15" t="str">
        <f>names!$A2090</f>
        <v>12 m-cy 2021</v>
      </c>
      <c r="F4" s="15" t="str">
        <f>names!$A2091</f>
        <v>IV kw. 
2022</v>
      </c>
      <c r="G4" s="15" t="str">
        <f>names!$A2092</f>
        <v>11-12
2022</v>
      </c>
      <c r="H4" s="15" t="str">
        <f>names!$A2093</f>
        <v>12 m-cy 2022</v>
      </c>
      <c r="I4" s="577"/>
    </row>
    <row r="5" spans="1:9" s="29" customFormat="1" ht="7.15" customHeight="1" thickBot="1">
      <c r="A5" s="759"/>
      <c r="B5" s="760"/>
      <c r="C5" s="767"/>
      <c r="D5" s="761"/>
      <c r="E5" s="761"/>
      <c r="F5" s="761"/>
      <c r="G5" s="761"/>
      <c r="H5" s="761"/>
      <c r="I5" s="577"/>
    </row>
    <row r="6" spans="1:9" s="5" customFormat="1" ht="12" thickBot="1">
      <c r="A6" s="752"/>
      <c r="B6" s="755" t="str">
        <f>names!A2054</f>
        <v>GAZ ZIEMNY</v>
      </c>
      <c r="C6" s="765"/>
      <c r="D6" s="756"/>
      <c r="E6" s="756"/>
      <c r="F6" s="756"/>
      <c r="G6" s="756"/>
      <c r="H6" s="265"/>
      <c r="I6" s="577"/>
    </row>
    <row r="7" spans="1:9" s="5" customFormat="1" ht="5.0999999999999996" customHeight="1">
      <c r="A7" s="752"/>
      <c r="B7" s="576"/>
      <c r="C7" s="599"/>
      <c r="D7" s="142"/>
      <c r="E7" s="142"/>
      <c r="F7" s="142"/>
      <c r="G7" s="142"/>
      <c r="H7" s="260"/>
      <c r="I7" s="577"/>
    </row>
    <row r="8" spans="1:9" s="65" customFormat="1" ht="13.5" customHeight="1">
      <c r="A8" s="762"/>
      <c r="B8" s="591" t="str">
        <f>names!A2056</f>
        <v>Wolumen produkcji, w tym:</v>
      </c>
      <c r="C8" s="601" t="s">
        <v>635</v>
      </c>
      <c r="D8" s="592">
        <f>SUM(D9:D11)</f>
        <v>19.360691514999999</v>
      </c>
      <c r="E8" s="592">
        <f t="shared" ref="E8:H8" si="0">SUM(E9:E11)</f>
        <v>57.631651773999991</v>
      </c>
      <c r="F8" s="592">
        <f t="shared" si="0"/>
        <v>19.424457527999998</v>
      </c>
      <c r="G8" s="592">
        <f t="shared" si="0"/>
        <v>13.011596824999998</v>
      </c>
      <c r="H8" s="593">
        <f t="shared" si="0"/>
        <v>75.42767585</v>
      </c>
      <c r="I8" s="577"/>
    </row>
    <row r="9" spans="1:9" s="82" customFormat="1" ht="13.5" customHeight="1">
      <c r="A9" s="612"/>
      <c r="B9" s="527" t="str">
        <f>names!A2057</f>
        <v xml:space="preserve">   - Polska</v>
      </c>
      <c r="C9" s="602" t="s">
        <v>635</v>
      </c>
      <c r="D9" s="579">
        <v>10.051894914</v>
      </c>
      <c r="E9" s="579">
        <v>38.563953174999995</v>
      </c>
      <c r="F9" s="579">
        <v>9.6214525539999993</v>
      </c>
      <c r="G9" s="579">
        <v>6.4392812569999993</v>
      </c>
      <c r="H9" s="580">
        <v>37.620311342000001</v>
      </c>
      <c r="I9" s="577"/>
    </row>
    <row r="10" spans="1:9" s="82" customFormat="1" ht="13.5" customHeight="1">
      <c r="A10" s="612"/>
      <c r="B10" s="527" t="str">
        <f>names!A2058</f>
        <v xml:space="preserve">   - Pakistan</v>
      </c>
      <c r="C10" s="602" t="s">
        <v>635</v>
      </c>
      <c r="D10" s="579">
        <v>0.82879660100000008</v>
      </c>
      <c r="E10" s="579">
        <v>3.4876985989999998</v>
      </c>
      <c r="F10" s="579">
        <v>0.7730049739999999</v>
      </c>
      <c r="G10" s="579">
        <v>0.512315568</v>
      </c>
      <c r="H10" s="580">
        <v>3.2573645079999998</v>
      </c>
      <c r="I10" s="577"/>
    </row>
    <row r="11" spans="1:9" s="82" customFormat="1" ht="13.5" customHeight="1">
      <c r="A11" s="612"/>
      <c r="B11" s="527" t="str">
        <f>names!A2059</f>
        <v xml:space="preserve"> - PGNiG Upstream Norway</v>
      </c>
      <c r="C11" s="602" t="s">
        <v>635</v>
      </c>
      <c r="D11" s="579">
        <v>8.48</v>
      </c>
      <c r="E11" s="579">
        <v>15.58</v>
      </c>
      <c r="F11" s="579">
        <v>9.0299999999999994</v>
      </c>
      <c r="G11" s="579">
        <v>6.06</v>
      </c>
      <c r="H11" s="580">
        <v>34.549999999999997</v>
      </c>
      <c r="I11" s="577"/>
    </row>
    <row r="12" spans="1:9" s="65" customFormat="1" ht="13.5" customHeight="1">
      <c r="A12" s="762"/>
      <c r="B12" s="591" t="str">
        <f>names!A2060</f>
        <v>Wolumen importu do Polski, w tym:</v>
      </c>
      <c r="C12" s="601" t="s">
        <v>635</v>
      </c>
      <c r="D12" s="592">
        <v>45.41</v>
      </c>
      <c r="E12" s="592">
        <v>176.95</v>
      </c>
      <c r="F12" s="592">
        <v>39.65</v>
      </c>
      <c r="G12" s="592">
        <v>28.75</v>
      </c>
      <c r="H12" s="593">
        <v>152.93</v>
      </c>
      <c r="I12" s="577"/>
    </row>
    <row r="13" spans="1:9" s="82" customFormat="1" ht="13.5" customHeight="1">
      <c r="A13" s="612"/>
      <c r="B13" s="527" t="str">
        <f>names!A2061</f>
        <v xml:space="preserve">   - z kierunku wschodniego, w tym:</v>
      </c>
      <c r="C13" s="602" t="s">
        <v>635</v>
      </c>
      <c r="D13" s="579">
        <v>28.48</v>
      </c>
      <c r="E13" s="579">
        <v>108.67</v>
      </c>
      <c r="F13" s="579">
        <v>1.83</v>
      </c>
      <c r="G13" s="579">
        <v>1.43</v>
      </c>
      <c r="H13" s="580">
        <v>37.4</v>
      </c>
      <c r="I13" s="577"/>
    </row>
    <row r="14" spans="1:9" s="82" customFormat="1" ht="13.5" customHeight="1">
      <c r="A14" s="612"/>
      <c r="B14" s="589" t="str">
        <f>names!A2062</f>
        <v xml:space="preserve"> Litwa</v>
      </c>
      <c r="C14" s="602" t="s">
        <v>635</v>
      </c>
      <c r="D14" s="579">
        <v>0</v>
      </c>
      <c r="E14" s="579">
        <v>0</v>
      </c>
      <c r="F14" s="579">
        <v>1.83</v>
      </c>
      <c r="G14" s="579">
        <v>1.43</v>
      </c>
      <c r="H14" s="580">
        <v>6.04</v>
      </c>
      <c r="I14" s="577"/>
    </row>
    <row r="15" spans="1:9" s="82" customFormat="1" ht="13.5" customHeight="1">
      <c r="A15" s="612"/>
      <c r="B15" s="527" t="str">
        <f>names!A2063</f>
        <v xml:space="preserve">   - LNG</v>
      </c>
      <c r="C15" s="602" t="s">
        <v>635</v>
      </c>
      <c r="D15" s="579">
        <v>11.17</v>
      </c>
      <c r="E15" s="579">
        <v>43.21</v>
      </c>
      <c r="F15" s="579">
        <v>20.71</v>
      </c>
      <c r="G15" s="579">
        <v>13.73</v>
      </c>
      <c r="H15" s="580">
        <v>66.64</v>
      </c>
      <c r="I15" s="577"/>
    </row>
    <row r="16" spans="1:9" s="65" customFormat="1" ht="13.5" customHeight="1">
      <c r="A16" s="762"/>
      <c r="B16" s="591" t="str">
        <f>names!A2064</f>
        <v>Wolumen sprzedaży poza Grupę PGNiG, w tym:</v>
      </c>
      <c r="C16" s="601" t="s">
        <v>635</v>
      </c>
      <c r="D16" s="592">
        <f>D17+D20+D21</f>
        <v>114.42999999999999</v>
      </c>
      <c r="E16" s="592">
        <f t="shared" ref="E16:H16" si="1">E17+E20+E21</f>
        <v>378.27</v>
      </c>
      <c r="F16" s="592">
        <f t="shared" si="1"/>
        <v>83.69</v>
      </c>
      <c r="G16" s="592">
        <f t="shared" si="1"/>
        <v>61.660000000000004</v>
      </c>
      <c r="H16" s="593">
        <f t="shared" si="1"/>
        <v>346.77</v>
      </c>
      <c r="I16" s="577"/>
    </row>
    <row r="17" spans="1:9" s="82" customFormat="1" ht="13.5" customHeight="1">
      <c r="A17" s="612"/>
      <c r="B17" s="527" t="str">
        <f>names!A2065</f>
        <v xml:space="preserve"> - PGNiG SA:</v>
      </c>
      <c r="C17" s="602" t="s">
        <v>635</v>
      </c>
      <c r="D17" s="579">
        <v>58.58</v>
      </c>
      <c r="E17" s="579">
        <v>205.75</v>
      </c>
      <c r="F17" s="579">
        <v>37.39</v>
      </c>
      <c r="G17" s="579">
        <v>24.87</v>
      </c>
      <c r="H17" s="580">
        <v>172.53</v>
      </c>
      <c r="I17" s="577"/>
    </row>
    <row r="18" spans="1:9" s="82" customFormat="1" ht="13.5" customHeight="1">
      <c r="A18" s="612"/>
      <c r="B18" s="589" t="str">
        <f>names!A2066</f>
        <v>Towarowa Giełda Energii</v>
      </c>
      <c r="C18" s="602" t="s">
        <v>635</v>
      </c>
      <c r="D18" s="579">
        <v>39.86</v>
      </c>
      <c r="E18" s="579">
        <v>123.53</v>
      </c>
      <c r="F18" s="579">
        <v>28.93</v>
      </c>
      <c r="G18" s="579">
        <v>20.63</v>
      </c>
      <c r="H18" s="580">
        <v>108.32</v>
      </c>
      <c r="I18" s="577"/>
    </row>
    <row r="19" spans="1:9" s="82" customFormat="1" ht="13.5" customHeight="1">
      <c r="A19" s="612"/>
      <c r="B19" s="589" t="str">
        <f>names!A2067</f>
        <v>Ukraina</v>
      </c>
      <c r="C19" s="602" t="s">
        <v>635</v>
      </c>
      <c r="D19" s="579">
        <v>0</v>
      </c>
      <c r="E19" s="579">
        <v>2.4700000000000002</v>
      </c>
      <c r="F19" s="579">
        <v>0.03</v>
      </c>
      <c r="G19" s="579">
        <v>0.01</v>
      </c>
      <c r="H19" s="580">
        <v>0.15</v>
      </c>
      <c r="I19" s="577"/>
    </row>
    <row r="20" spans="1:9" s="82" customFormat="1" ht="13.5" customHeight="1">
      <c r="A20" s="612"/>
      <c r="B20" s="590" t="str">
        <f>names!A2068</f>
        <v xml:space="preserve"> - PGNiG Obrót Detaliczny</v>
      </c>
      <c r="C20" s="603" t="s">
        <v>635</v>
      </c>
      <c r="D20" s="579">
        <v>33.08</v>
      </c>
      <c r="E20" s="579">
        <v>106.5</v>
      </c>
      <c r="F20" s="579">
        <v>31.46</v>
      </c>
      <c r="G20" s="579">
        <v>23.91</v>
      </c>
      <c r="H20" s="580">
        <v>102.21</v>
      </c>
      <c r="I20" s="577"/>
    </row>
    <row r="21" spans="1:9" s="82" customFormat="1" ht="13.5" customHeight="1">
      <c r="A21" s="612"/>
      <c r="B21" s="590" t="str">
        <f>names!A2069</f>
        <v xml:space="preserve"> - PGNiG Supply &amp; Trading </v>
      </c>
      <c r="C21" s="603" t="s">
        <v>635</v>
      </c>
      <c r="D21" s="579">
        <v>22.77</v>
      </c>
      <c r="E21" s="579">
        <v>66.02</v>
      </c>
      <c r="F21" s="579">
        <v>14.84</v>
      </c>
      <c r="G21" s="579">
        <v>12.88</v>
      </c>
      <c r="H21" s="580">
        <v>72.03</v>
      </c>
      <c r="I21" s="577"/>
    </row>
    <row r="22" spans="1:9" s="82" customFormat="1" ht="9" customHeight="1" thickBot="1">
      <c r="A22" s="612"/>
      <c r="B22" s="527"/>
      <c r="C22" s="600"/>
      <c r="D22" s="528"/>
      <c r="E22" s="528"/>
      <c r="F22" s="528"/>
      <c r="G22" s="528"/>
      <c r="H22" s="529"/>
      <c r="I22" s="577"/>
    </row>
    <row r="23" spans="1:9" s="65" customFormat="1" ht="12" thickBot="1">
      <c r="A23" s="762"/>
      <c r="B23" s="755" t="str">
        <f>names!A2071</f>
        <v>DYSTRYBUCJA</v>
      </c>
      <c r="C23" s="763"/>
      <c r="D23" s="764"/>
      <c r="E23" s="764"/>
      <c r="F23" s="764"/>
      <c r="G23" s="764"/>
      <c r="H23" s="598"/>
      <c r="I23" s="577"/>
    </row>
    <row r="24" spans="1:9" s="5" customFormat="1" ht="11.25">
      <c r="A24" s="752"/>
      <c r="B24" s="534" t="str">
        <f>names!A2072</f>
        <v>Polska Spółka Gazownictwa</v>
      </c>
      <c r="C24" s="604" t="s">
        <v>635</v>
      </c>
      <c r="D24" s="596">
        <v>41.44</v>
      </c>
      <c r="E24" s="596">
        <v>142.36000000000001</v>
      </c>
      <c r="F24" s="596">
        <v>36.36</v>
      </c>
      <c r="G24" s="596">
        <v>27.86</v>
      </c>
      <c r="H24" s="597">
        <v>125.83</v>
      </c>
      <c r="I24" s="577"/>
    </row>
    <row r="25" spans="1:9" s="5" customFormat="1" ht="6.6" customHeight="1" thickBot="1">
      <c r="A25" s="752"/>
      <c r="B25" s="118"/>
      <c r="C25" s="388"/>
      <c r="D25" s="564"/>
      <c r="E25" s="564"/>
      <c r="F25" s="564"/>
      <c r="G25" s="572"/>
      <c r="H25" s="586"/>
      <c r="I25" s="577"/>
    </row>
    <row r="26" spans="1:9" s="65" customFormat="1" ht="12" thickBot="1">
      <c r="A26" s="762"/>
      <c r="B26" s="755" t="str">
        <f>names!A2074</f>
        <v>ROPA NAFTOWA*</v>
      </c>
      <c r="C26" s="763"/>
      <c r="D26" s="764"/>
      <c r="E26" s="764"/>
      <c r="F26" s="764"/>
      <c r="G26" s="764"/>
      <c r="H26" s="598"/>
      <c r="I26" s="577"/>
    </row>
    <row r="27" spans="1:9" s="65" customFormat="1" ht="13.5" customHeight="1">
      <c r="A27" s="762"/>
      <c r="B27" s="576" t="str">
        <f>names!A2075</f>
        <v>Wolumen produkcji, w tym:</v>
      </c>
      <c r="C27" s="605" t="str">
        <f>names!$A2088</f>
        <v>tys. ton</v>
      </c>
      <c r="D27" s="578">
        <v>437.5</v>
      </c>
      <c r="E27" s="578" t="s">
        <v>628</v>
      </c>
      <c r="F27" s="578">
        <v>389.3</v>
      </c>
      <c r="G27" s="594">
        <v>259.7</v>
      </c>
      <c r="H27" s="595" t="s">
        <v>629</v>
      </c>
      <c r="I27" s="577"/>
    </row>
    <row r="28" spans="1:9" s="82" customFormat="1" ht="13.5" customHeight="1">
      <c r="A28" s="612"/>
      <c r="B28" s="590" t="str">
        <f>names!A2076</f>
        <v xml:space="preserve"> - PGNiG Upstream Norway</v>
      </c>
      <c r="C28" s="603" t="str">
        <f>C27</f>
        <v>tys. ton</v>
      </c>
      <c r="D28" s="579">
        <v>263.89999999999998</v>
      </c>
      <c r="E28" s="579">
        <v>732.2</v>
      </c>
      <c r="F28" s="579">
        <v>229.2</v>
      </c>
      <c r="G28" s="579">
        <v>153.5</v>
      </c>
      <c r="H28" s="580">
        <v>886.4</v>
      </c>
      <c r="I28" s="577"/>
    </row>
    <row r="29" spans="1:9" s="65" customFormat="1" ht="13.5" customHeight="1">
      <c r="A29" s="762"/>
      <c r="B29" s="576" t="str">
        <f>names!A2077</f>
        <v>Wolumen sprzedaży, w tym:</v>
      </c>
      <c r="C29" s="605" t="str">
        <f>C27</f>
        <v>tys. ton</v>
      </c>
      <c r="D29" s="578">
        <v>400.9</v>
      </c>
      <c r="E29" s="578" t="s">
        <v>630</v>
      </c>
      <c r="F29" s="578">
        <v>373.8</v>
      </c>
      <c r="G29" s="594">
        <v>148.80000000000001</v>
      </c>
      <c r="H29" s="595" t="s">
        <v>631</v>
      </c>
      <c r="I29" s="577"/>
    </row>
    <row r="30" spans="1:9" s="82" customFormat="1" ht="13.5" customHeight="1">
      <c r="A30" s="612"/>
      <c r="B30" s="590" t="str">
        <f>names!A2078</f>
        <v xml:space="preserve"> - PGNiG Upstream Norway</v>
      </c>
      <c r="C30" s="603" t="str">
        <f>C27</f>
        <v>tys. ton</v>
      </c>
      <c r="D30" s="579">
        <v>223.3</v>
      </c>
      <c r="E30" s="579">
        <v>696.7</v>
      </c>
      <c r="F30" s="579">
        <v>222</v>
      </c>
      <c r="G30" s="579">
        <v>50</v>
      </c>
      <c r="H30" s="580">
        <v>768.2</v>
      </c>
      <c r="I30" s="577"/>
    </row>
    <row r="31" spans="1:9" s="5" customFormat="1" ht="9" customHeight="1" thickBot="1">
      <c r="A31" s="752"/>
      <c r="B31" s="115"/>
      <c r="C31" s="46"/>
      <c r="D31" s="566"/>
      <c r="E31" s="566"/>
      <c r="F31" s="566"/>
      <c r="G31" s="563"/>
      <c r="H31" s="587"/>
      <c r="I31" s="577"/>
    </row>
    <row r="32" spans="1:9" s="65" customFormat="1" ht="12" thickBot="1">
      <c r="A32" s="762"/>
      <c r="B32" s="755" t="str">
        <f>names!A2080</f>
        <v>CIEPŁO i ENERGIA ELEKTRYCZNA**</v>
      </c>
      <c r="C32" s="763"/>
      <c r="D32" s="764"/>
      <c r="E32" s="764"/>
      <c r="F32" s="764"/>
      <c r="G32" s="764"/>
      <c r="H32" s="598"/>
      <c r="I32" s="577"/>
    </row>
    <row r="33" spans="1:9" s="5" customFormat="1" ht="13.5" customHeight="1">
      <c r="A33" s="752"/>
      <c r="B33" s="115" t="str">
        <f>names!A2081</f>
        <v>Wolumen sprzedaży ciepła</v>
      </c>
      <c r="C33" s="24" t="s">
        <v>637</v>
      </c>
      <c r="D33" s="566">
        <v>13.91</v>
      </c>
      <c r="E33" s="566">
        <v>41.17</v>
      </c>
      <c r="F33" s="566">
        <v>14.08</v>
      </c>
      <c r="G33" s="563">
        <v>11.29</v>
      </c>
      <c r="H33" s="587">
        <v>41.64</v>
      </c>
      <c r="I33" s="577"/>
    </row>
    <row r="34" spans="1:9" s="5" customFormat="1" ht="13.5" customHeight="1">
      <c r="A34" s="752"/>
      <c r="B34" s="115" t="str">
        <f>names!A2082</f>
        <v>Wolumen sprzedaży energii elektrycznej z produkcji</v>
      </c>
      <c r="C34" s="24" t="s">
        <v>635</v>
      </c>
      <c r="D34" s="566">
        <v>1.21</v>
      </c>
      <c r="E34" s="566">
        <v>3.48</v>
      </c>
      <c r="F34" s="566">
        <v>1.24</v>
      </c>
      <c r="G34" s="563">
        <v>0.93</v>
      </c>
      <c r="H34" s="587">
        <v>4.42</v>
      </c>
      <c r="I34" s="577"/>
    </row>
    <row r="35" spans="1:9" s="5" customFormat="1" ht="9" customHeight="1" thickBot="1">
      <c r="A35" s="752"/>
      <c r="B35" s="41"/>
      <c r="C35" s="394"/>
      <c r="D35" s="143"/>
      <c r="E35" s="143"/>
      <c r="F35" s="143"/>
      <c r="G35" s="143"/>
      <c r="H35" s="264"/>
      <c r="I35" s="577"/>
    </row>
    <row r="36" spans="1:9" ht="4.5" customHeight="1" thickBot="1">
      <c r="A36" s="750"/>
      <c r="B36" s="757"/>
      <c r="C36" s="766"/>
      <c r="D36" s="750"/>
      <c r="E36" s="750"/>
      <c r="F36" s="750"/>
      <c r="G36" s="750"/>
      <c r="H36" s="750"/>
      <c r="I36" s="577"/>
    </row>
    <row r="37" spans="1:9">
      <c r="A37" s="750"/>
      <c r="B37" s="754" t="str">
        <f>names!A2085</f>
        <v>* dane łączne dla ropy naftowej, NGL i kondensatu.</v>
      </c>
      <c r="C37" s="766"/>
      <c r="D37" s="750"/>
      <c r="E37" s="750"/>
      <c r="F37" s="750"/>
      <c r="G37" s="750"/>
      <c r="H37" s="750"/>
      <c r="I37" s="577"/>
    </row>
    <row r="38" spans="1:9">
      <c r="A38" s="750"/>
      <c r="B38" s="754" t="str">
        <f>names!A2086</f>
        <v>** dane PGNiG Termika S.A. oraz PGNiG Termika Energetyka Przemysłowa S.A.</v>
      </c>
      <c r="C38" s="750"/>
      <c r="D38" s="750"/>
      <c r="E38" s="750"/>
      <c r="F38" s="750"/>
      <c r="G38" s="750"/>
      <c r="H38" s="750"/>
      <c r="I38" s="577"/>
    </row>
    <row r="40" spans="1:9">
      <c r="B40" s="577"/>
      <c r="C40" s="577"/>
      <c r="D40" s="577"/>
      <c r="E40" s="577"/>
      <c r="F40" s="577"/>
      <c r="G40" s="577"/>
      <c r="H40" s="577"/>
    </row>
  </sheetData>
  <conditionalFormatting sqref="B40:H40">
    <cfRule type="cellIs" dxfId="1" priority="4" operator="equal">
      <formula>FALSE</formula>
    </cfRule>
  </conditionalFormatting>
  <conditionalFormatting sqref="I2:I38">
    <cfRule type="cellIs" dxfId="0" priority="1" operator="equal">
      <formula>FALSE</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9">
    <tabColor rgb="FFFF0000"/>
    <pageSetUpPr fitToPage="1"/>
  </sheetPr>
  <dimension ref="B2:M18"/>
  <sheetViews>
    <sheetView showGridLines="0" view="pageBreakPreview" zoomScaleNormal="100" zoomScaleSheetLayoutView="100" workbookViewId="0">
      <pane xSplit="2" ySplit="5" topLeftCell="C6" activePane="bottomRight" state="frozen"/>
      <selection activeCell="B7" sqref="B7"/>
      <selection pane="topRight" activeCell="B7" sqref="B7"/>
      <selection pane="bottomLeft" activeCell="B7" sqref="B7"/>
      <selection pane="bottomRight"/>
    </sheetView>
  </sheetViews>
  <sheetFormatPr defaultColWidth="9.42578125" defaultRowHeight="12.75"/>
  <cols>
    <col min="1" max="1" width="1.28515625" customWidth="1"/>
    <col min="2" max="2" width="37.5703125" bestFit="1" customWidth="1"/>
    <col min="3" max="12" width="7.5703125" customWidth="1"/>
  </cols>
  <sheetData>
    <row r="2" spans="2:13" ht="15.75">
      <c r="B2" s="719" t="str">
        <f>names!$A2179</f>
        <v>Konsumpcja *</v>
      </c>
    </row>
    <row r="3" spans="2:13" s="52" customFormat="1" ht="10.15" customHeight="1">
      <c r="B3" s="45"/>
      <c r="C3" s="45"/>
      <c r="D3" s="45"/>
      <c r="E3" s="45"/>
      <c r="F3" s="45"/>
      <c r="G3" s="45"/>
      <c r="H3" s="45"/>
      <c r="I3" s="45"/>
      <c r="J3" s="45"/>
      <c r="K3" s="45"/>
      <c r="L3" s="45"/>
    </row>
    <row r="4" spans="2:13" s="54" customFormat="1" ht="33.75" customHeight="1">
      <c r="B4" s="37" t="str">
        <f>names!$A2180</f>
        <v>Wyszczególnienie</v>
      </c>
      <c r="C4" s="15" t="str">
        <f>names!$A169</f>
        <v>I kw. 
2024</v>
      </c>
      <c r="D4" s="15" t="str">
        <f>names!$A170</f>
        <v>II kw. 
2024</v>
      </c>
      <c r="E4" s="15" t="str">
        <f>names!$A171</f>
        <v>III kw. 
2024</v>
      </c>
      <c r="F4" s="15" t="str">
        <f>names!$A172</f>
        <v>IV kw. 
2024</v>
      </c>
      <c r="G4" s="15" t="str">
        <f>names!$A173</f>
        <v>12 m-cy 2024</v>
      </c>
      <c r="H4" s="15" t="str">
        <f>names!$A174</f>
        <v>I kw. 
2025</v>
      </c>
      <c r="I4" s="15" t="str">
        <f>names!$A175</f>
        <v>II kw. 
2025</v>
      </c>
      <c r="J4" s="15" t="str">
        <f>names!$A176</f>
        <v>III kw. 
2025</v>
      </c>
      <c r="K4" s="15" t="str">
        <f>names!$A177</f>
        <v>IV kw. 
2025</v>
      </c>
      <c r="L4" s="15" t="str">
        <f>names!$A178</f>
        <v>12 m-cy 2025</v>
      </c>
    </row>
    <row r="5" spans="2:13" s="50" customFormat="1" ht="8.25" customHeight="1">
      <c r="B5" s="117"/>
      <c r="C5" s="117"/>
      <c r="D5" s="117"/>
      <c r="E5" s="117"/>
      <c r="F5" s="117"/>
      <c r="G5" s="117"/>
      <c r="H5" s="117"/>
      <c r="I5" s="117"/>
      <c r="J5" s="117"/>
      <c r="K5" s="117"/>
      <c r="L5" s="117"/>
    </row>
    <row r="6" spans="2:13" ht="13.5" customHeight="1">
      <c r="B6" s="979" t="str">
        <f>names!$A2181</f>
        <v>Polska</v>
      </c>
      <c r="C6" s="980">
        <f t="shared" ref="C6:E6" si="0">C7+C8</f>
        <v>5486.4000000000005</v>
      </c>
      <c r="D6" s="980">
        <f t="shared" si="0"/>
        <v>6029.1</v>
      </c>
      <c r="E6" s="980">
        <f t="shared" si="0"/>
        <v>6248.4000000000005</v>
      </c>
      <c r="F6" s="980">
        <f t="shared" ref="F6" si="1">F7+F8</f>
        <v>6076.1</v>
      </c>
      <c r="G6" s="981">
        <f>C6+D6+E6+F6</f>
        <v>23840</v>
      </c>
      <c r="H6" s="982">
        <f t="shared" ref="H6:K6" si="2">H7+H8</f>
        <v>5459.6</v>
      </c>
      <c r="I6" s="980">
        <f t="shared" si="2"/>
        <v>6253</v>
      </c>
      <c r="J6" s="980">
        <f t="shared" si="2"/>
        <v>6343.1999999999989</v>
      </c>
      <c r="K6" s="980">
        <f t="shared" si="2"/>
        <v>6288</v>
      </c>
      <c r="L6" s="981">
        <f>H6+I6+J6+K6</f>
        <v>24343.8</v>
      </c>
    </row>
    <row r="7" spans="2:13" s="120" customFormat="1" ht="13.5" customHeight="1">
      <c r="B7" s="46" t="str">
        <f>names!$A2182</f>
        <v>Benzyny (tys. ton)</v>
      </c>
      <c r="C7" s="983">
        <v>1268.8</v>
      </c>
      <c r="D7" s="983">
        <v>1488.6</v>
      </c>
      <c r="E7" s="983">
        <v>1528.6000000000004</v>
      </c>
      <c r="F7" s="983">
        <v>1419.1</v>
      </c>
      <c r="G7" s="984">
        <f>C7+D7+E7+F7</f>
        <v>5705.1</v>
      </c>
      <c r="H7" s="985">
        <v>1314</v>
      </c>
      <c r="I7" s="985">
        <v>1609.9</v>
      </c>
      <c r="J7" s="985">
        <v>1618.6</v>
      </c>
      <c r="K7" s="983">
        <v>1569.1999999999998</v>
      </c>
      <c r="L7" s="984">
        <f>H7+I7+J7+K7</f>
        <v>6111.7</v>
      </c>
      <c r="M7"/>
    </row>
    <row r="8" spans="2:13" s="120" customFormat="1" ht="13.5" customHeight="1">
      <c r="B8" s="46" t="str">
        <f>names!$A2183</f>
        <v>ON (tys. ton)</v>
      </c>
      <c r="C8" s="983">
        <v>4217.6000000000004</v>
      </c>
      <c r="D8" s="983">
        <v>4540.5</v>
      </c>
      <c r="E8" s="983">
        <v>4719.8</v>
      </c>
      <c r="F8" s="983">
        <v>4657.0000000000009</v>
      </c>
      <c r="G8" s="984">
        <f t="shared" ref="G8:G14" si="3">C8+D8+E8+F8</f>
        <v>18134.900000000001</v>
      </c>
      <c r="H8" s="985">
        <v>4145.6000000000004</v>
      </c>
      <c r="I8" s="985">
        <v>4643.0999999999995</v>
      </c>
      <c r="J8" s="985">
        <v>4724.5999999999995</v>
      </c>
      <c r="K8" s="983">
        <v>4718.8</v>
      </c>
      <c r="L8" s="984">
        <f>H8+I8+J8+K8</f>
        <v>18232.099999999999</v>
      </c>
      <c r="M8"/>
    </row>
    <row r="9" spans="2:13" s="120" customFormat="1" ht="13.5" customHeight="1">
      <c r="B9" s="46" t="str">
        <f>names!$A2184</f>
        <v>Produkcja energii ogółem (GWh)</v>
      </c>
      <c r="C9" s="983">
        <v>43906</v>
      </c>
      <c r="D9" s="983">
        <v>39299</v>
      </c>
      <c r="E9" s="983">
        <v>39778</v>
      </c>
      <c r="F9" s="983">
        <v>44007</v>
      </c>
      <c r="G9" s="984">
        <f t="shared" si="3"/>
        <v>166990</v>
      </c>
      <c r="H9" s="983">
        <v>45797</v>
      </c>
      <c r="I9" s="983">
        <v>38622</v>
      </c>
      <c r="J9" s="983">
        <v>38028</v>
      </c>
      <c r="K9" s="983">
        <v>44083</v>
      </c>
      <c r="L9" s="984">
        <v>166529</v>
      </c>
      <c r="M9"/>
    </row>
    <row r="10" spans="2:13" s="120" customFormat="1" ht="13.5" customHeight="1">
      <c r="B10" s="46" t="str">
        <f>names!$A2185</f>
        <v>Krajowe zużycie energii elektrycznej (GWh)</v>
      </c>
      <c r="C10" s="983">
        <v>45270</v>
      </c>
      <c r="D10" s="983">
        <v>40056</v>
      </c>
      <c r="E10" s="983">
        <v>39938</v>
      </c>
      <c r="F10" s="983">
        <v>43691</v>
      </c>
      <c r="G10" s="984">
        <f t="shared" si="3"/>
        <v>168955</v>
      </c>
      <c r="H10" s="983">
        <v>44455</v>
      </c>
      <c r="I10" s="983">
        <v>38855</v>
      </c>
      <c r="J10" s="983">
        <v>39246</v>
      </c>
      <c r="K10" s="983">
        <v>44929</v>
      </c>
      <c r="L10" s="984">
        <v>167484</v>
      </c>
      <c r="M10"/>
    </row>
    <row r="11" spans="2:13" s="120" customFormat="1" ht="13.5" customHeight="1">
      <c r="B11" s="46" t="str">
        <f>names!$A2186</f>
        <v>Konsumpcja (gaz wysokometanowy) (GWh)</v>
      </c>
      <c r="C11" s="983">
        <v>64044.36</v>
      </c>
      <c r="D11" s="983">
        <v>36846.26</v>
      </c>
      <c r="E11" s="983">
        <v>36080.03</v>
      </c>
      <c r="F11" s="983">
        <v>62025.71</v>
      </c>
      <c r="G11" s="984">
        <v>198996.36</v>
      </c>
      <c r="H11" s="983">
        <v>67950.73</v>
      </c>
      <c r="I11" s="983">
        <v>40104.68</v>
      </c>
      <c r="J11" s="983">
        <v>36440.42</v>
      </c>
      <c r="K11" s="983">
        <v>67337.95</v>
      </c>
      <c r="L11" s="984">
        <v>211833.77999999997</v>
      </c>
      <c r="M11"/>
    </row>
    <row r="12" spans="2:13" ht="13.5" customHeight="1">
      <c r="B12" s="979" t="str">
        <f>names!$A2187</f>
        <v>Pozostałe kraje Grupy ORLEN</v>
      </c>
      <c r="C12" s="980">
        <f t="shared" ref="C12:E12" si="4">C13+C14</f>
        <v>16991.1972116</v>
      </c>
      <c r="D12" s="980">
        <f t="shared" si="4"/>
        <v>18904.682000000001</v>
      </c>
      <c r="E12" s="980">
        <f t="shared" si="4"/>
        <v>19710.561000000002</v>
      </c>
      <c r="F12" s="980">
        <f t="shared" ref="F12" si="5">F13+F14</f>
        <v>18665.768000000004</v>
      </c>
      <c r="G12" s="981">
        <f t="shared" si="3"/>
        <v>74272.208211599995</v>
      </c>
      <c r="H12" s="982">
        <f t="shared" ref="H12:K12" si="6">H13+H14</f>
        <v>17585.347587739998</v>
      </c>
      <c r="I12" s="980">
        <f t="shared" si="6"/>
        <v>18766.378490940002</v>
      </c>
      <c r="J12" s="980">
        <f t="shared" si="6"/>
        <v>19737.432518000001</v>
      </c>
      <c r="K12" s="980">
        <f t="shared" si="6"/>
        <v>19035.660341790168</v>
      </c>
      <c r="L12" s="981">
        <f t="shared" ref="L12:L14" si="7">H12+I12+J12+K12</f>
        <v>75124.818938470169</v>
      </c>
    </row>
    <row r="13" spans="2:13" s="120" customFormat="1" ht="13.5" customHeight="1">
      <c r="B13" s="46" t="str">
        <f>B7</f>
        <v>Benzyny (tys. ton)</v>
      </c>
      <c r="C13" s="983">
        <v>5373.3982115999997</v>
      </c>
      <c r="D13" s="983">
        <v>6054.9500000000007</v>
      </c>
      <c r="E13" s="983">
        <v>6324.9799999999987</v>
      </c>
      <c r="F13" s="983">
        <v>6003.6710000000003</v>
      </c>
      <c r="G13" s="984">
        <f t="shared" si="3"/>
        <v>23756.999211599999</v>
      </c>
      <c r="H13" s="983">
        <v>5572.9736222399988</v>
      </c>
      <c r="I13" s="983">
        <v>5907.29162344</v>
      </c>
      <c r="J13" s="983">
        <v>6346.2410299999992</v>
      </c>
      <c r="K13" s="983">
        <v>6159.1109263188691</v>
      </c>
      <c r="L13" s="984">
        <f t="shared" si="7"/>
        <v>23985.617201998866</v>
      </c>
      <c r="M13"/>
    </row>
    <row r="14" spans="2:13" s="120" customFormat="1" ht="13.5" customHeight="1">
      <c r="B14" s="46" t="str">
        <f>B8</f>
        <v>ON (tys. ton)</v>
      </c>
      <c r="C14" s="983">
        <v>11617.799000000001</v>
      </c>
      <c r="D14" s="983">
        <v>12849.732</v>
      </c>
      <c r="E14" s="983">
        <v>13385.581000000002</v>
      </c>
      <c r="F14" s="983">
        <v>12662.097000000002</v>
      </c>
      <c r="G14" s="984">
        <f t="shared" si="3"/>
        <v>50515.20900000001</v>
      </c>
      <c r="H14" s="983">
        <v>12012.373965499999</v>
      </c>
      <c r="I14" s="983">
        <v>12859.086867500002</v>
      </c>
      <c r="J14" s="983">
        <v>13391.191488</v>
      </c>
      <c r="K14" s="983">
        <v>12876.549415471298</v>
      </c>
      <c r="L14" s="984">
        <f t="shared" si="7"/>
        <v>51139.201736471296</v>
      </c>
      <c r="M14"/>
    </row>
    <row r="15" spans="2:13" ht="27" customHeight="1">
      <c r="B15" s="988" t="str">
        <f>names!$A2188</f>
        <v>*) Szacunki własne opracowane na bazie dostępnych danych Agencji Rynku Energii S.A., Litewskiego Urzędu Statystycznego, Czeskiego Urzędu Statystycznego, Niemieckiego Stowarzyszenia Przemysłu Naftowego, Polskich Sieci Elektroenergetycznych oraz danych Eurostat, Dane operatorów systemów przesyłowych.</v>
      </c>
      <c r="C15" s="988"/>
      <c r="D15" s="988"/>
      <c r="E15" s="988"/>
      <c r="F15" s="988"/>
      <c r="G15" s="988"/>
      <c r="H15" s="988"/>
      <c r="I15" s="988"/>
      <c r="J15" s="988"/>
      <c r="K15" s="988"/>
      <c r="L15" s="988"/>
    </row>
    <row r="16" spans="2:13">
      <c r="C16" s="243"/>
      <c r="D16" s="243"/>
      <c r="E16" s="243"/>
      <c r="F16" s="243"/>
      <c r="G16" s="243"/>
      <c r="H16" s="243"/>
      <c r="I16" s="243"/>
      <c r="J16" s="243"/>
      <c r="K16" s="243"/>
      <c r="L16" s="243"/>
    </row>
    <row r="17" spans="2:12">
      <c r="B17" s="526"/>
      <c r="C17" s="721"/>
      <c r="D17" s="721"/>
      <c r="E17" s="721"/>
      <c r="F17" s="721"/>
      <c r="K17" s="721"/>
      <c r="L17" s="721"/>
    </row>
    <row r="18" spans="2:12">
      <c r="C18" s="662"/>
      <c r="D18" s="243"/>
      <c r="E18" s="243"/>
      <c r="F18" s="243"/>
      <c r="K18" s="243"/>
      <c r="L18" s="243"/>
    </row>
  </sheetData>
  <mergeCells count="1">
    <mergeCell ref="B15:L15"/>
  </mergeCells>
  <conditionalFormatting sqref="C17:F17 K17:L17">
    <cfRule type="cellIs" dxfId="127" priority="1" operator="equal">
      <formula>FALSE</formula>
    </cfRule>
  </conditionalFormatting>
  <printOptions horizont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4:R4"/>
  <sheetViews>
    <sheetView showGridLines="0" view="pageBreakPreview" zoomScaleNormal="100" zoomScaleSheetLayoutView="100" workbookViewId="0"/>
  </sheetViews>
  <sheetFormatPr defaultRowHeight="12.75"/>
  <cols>
    <col min="16" max="16" width="1" customWidth="1"/>
  </cols>
  <sheetData>
    <row r="4" spans="1:18" ht="37.5">
      <c r="A4" s="491" t="str">
        <f>names!A249</f>
        <v>Wybrane dane finansowe</v>
      </c>
      <c r="R4" s="721"/>
    </row>
  </sheetData>
  <conditionalFormatting sqref="R4">
    <cfRule type="cellIs" dxfId="126" priority="1" operator="equal">
      <formula>FALSE</formula>
    </cfRule>
  </conditionalFormatting>
  <pageMargins left="0.70866141732283472" right="0.70866141732283472" top="0.74803149606299213" bottom="0.74803149606299213" header="0.31496062992125984" footer="0.31496062992125984"/>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9CFFE-40E6-4DE7-95A7-5EDD77741D0E}">
  <sheetPr>
    <tabColor rgb="FFFF0000"/>
    <pageSetUpPr fitToPage="1"/>
  </sheetPr>
  <dimension ref="B2:O36"/>
  <sheetViews>
    <sheetView showGridLines="0" view="pageBreakPreview" zoomScaleNormal="85" zoomScaleSheetLayoutView="100" workbookViewId="0">
      <pane xSplit="2" ySplit="2" topLeftCell="C3" activePane="bottomRight" state="frozen"/>
      <selection activeCell="AA48" sqref="AA48"/>
      <selection pane="topRight" activeCell="AA48" sqref="AA48"/>
      <selection pane="bottomLeft" activeCell="AA48" sqref="AA48"/>
      <selection pane="bottomRight"/>
    </sheetView>
  </sheetViews>
  <sheetFormatPr defaultColWidth="9.28515625" defaultRowHeight="12.75" outlineLevelCol="1"/>
  <cols>
    <col min="1" max="1" width="1.28515625" style="268" customWidth="1"/>
    <col min="2" max="2" width="60.85546875" style="268" customWidth="1"/>
    <col min="3" max="5" width="9.7109375" style="268" customWidth="1"/>
    <col min="6" max="7" width="9.7109375" style="268" customWidth="1" outlineLevel="1"/>
    <col min="8" max="10" width="9.7109375" style="268" customWidth="1"/>
    <col min="11" max="11" width="9.7109375" style="268" customWidth="1" outlineLevel="1"/>
    <col min="12" max="12" width="9.7109375" style="268" customWidth="1" outlineLevel="1" collapsed="1"/>
    <col min="13" max="13" width="9.7109375" style="268" customWidth="1"/>
    <col min="14" max="14" width="9.28515625" style="268" customWidth="1"/>
    <col min="15" max="16384" width="9.28515625" style="268"/>
  </cols>
  <sheetData>
    <row r="2" spans="2:15" ht="42.75" customHeight="1">
      <c r="B2" s="874" t="str">
        <f>names!A2251</f>
        <v>Kluczowe dane finansowe
(mln PLN)</v>
      </c>
      <c r="C2" s="271" t="str">
        <f>names!$A2095</f>
        <v>I kw. 
2024*</v>
      </c>
      <c r="D2" s="271" t="str">
        <f>names!$A2096</f>
        <v>II kw. 
2024*</v>
      </c>
      <c r="E2" s="271" t="str">
        <f>names!$A2097</f>
        <v>III kw. 
2024*</v>
      </c>
      <c r="F2" s="271" t="str">
        <f>names!$A2098</f>
        <v>IV kw. 
2024*</v>
      </c>
      <c r="G2" s="271" t="str">
        <f>names!$A2099</f>
        <v>12 m-cy 2024*</v>
      </c>
      <c r="H2" s="271" t="str">
        <f>names!$A174</f>
        <v>I kw. 
2025</v>
      </c>
      <c r="I2" s="271" t="str">
        <f>names!$A175</f>
        <v>II kw. 
2025</v>
      </c>
      <c r="J2" s="271" t="str">
        <f>names!$A176</f>
        <v>III kw. 
2025</v>
      </c>
      <c r="K2" s="271" t="str">
        <f>names!$A177</f>
        <v>IV kw. 
2025</v>
      </c>
      <c r="L2" s="271" t="str">
        <f>names!$A178</f>
        <v>12 m-cy 2025</v>
      </c>
    </row>
    <row r="3" spans="2:15" s="1" customFormat="1" ht="21" customHeight="1">
      <c r="B3" s="881" t="str">
        <f>names!A2252</f>
        <v>Przychody ze sprzedaży</v>
      </c>
      <c r="C3" s="882">
        <f>RZiS!C3</f>
        <v>82332</v>
      </c>
      <c r="D3" s="882">
        <f>RZiS!D3</f>
        <v>69510</v>
      </c>
      <c r="E3" s="882">
        <f>RZiS!E3</f>
        <v>67936</v>
      </c>
      <c r="F3" s="882">
        <f>RZiS!F3</f>
        <v>75198</v>
      </c>
      <c r="G3" s="883">
        <f>RZiS!G3</f>
        <v>294976</v>
      </c>
      <c r="H3" s="882">
        <f>RZiS!H3</f>
        <v>73535</v>
      </c>
      <c r="I3" s="882">
        <f>RZiS!I3</f>
        <v>60659</v>
      </c>
      <c r="J3" s="882">
        <f>RZiS!J3</f>
        <v>61007</v>
      </c>
      <c r="K3" s="882">
        <f>RZiS!K3</f>
        <v>72128</v>
      </c>
      <c r="L3" s="883">
        <f>RZiS!L3</f>
        <v>267329</v>
      </c>
    </row>
    <row r="4" spans="2:15" s="1" customFormat="1" ht="21" customHeight="1">
      <c r="B4" s="881" t="str">
        <f>names!A2253</f>
        <v>EBITDA LIFO przed odpisami, w tym:</v>
      </c>
      <c r="C4" s="882">
        <f t="shared" ref="C4:L4" si="0">SUM(C5:C9)</f>
        <v>8278</v>
      </c>
      <c r="D4" s="882">
        <f t="shared" si="0"/>
        <v>4962</v>
      </c>
      <c r="E4" s="882">
        <f t="shared" si="0"/>
        <v>9881</v>
      </c>
      <c r="F4" s="882">
        <f t="shared" si="0"/>
        <v>14299</v>
      </c>
      <c r="G4" s="883">
        <f t="shared" si="0"/>
        <v>37420</v>
      </c>
      <c r="H4" s="882">
        <f t="shared" si="0"/>
        <v>11605</v>
      </c>
      <c r="I4" s="882">
        <f t="shared" si="0"/>
        <v>9204</v>
      </c>
      <c r="J4" s="882">
        <f t="shared" si="0"/>
        <v>8887</v>
      </c>
      <c r="K4" s="882">
        <f t="shared" si="0"/>
        <v>12154</v>
      </c>
      <c r="L4" s="883">
        <f t="shared" si="0"/>
        <v>41850</v>
      </c>
    </row>
    <row r="5" spans="2:15">
      <c r="B5" s="281" t="str">
        <f>names!A2254</f>
        <v>Upstream &amp; Supply</v>
      </c>
      <c r="C5" s="934">
        <f>'Upstream&amp;Supply'!C16</f>
        <v>2663</v>
      </c>
      <c r="D5" s="934">
        <f>'Upstream&amp;Supply'!D16</f>
        <v>-916</v>
      </c>
      <c r="E5" s="934">
        <f>'Upstream&amp;Supply'!E16</f>
        <v>6457</v>
      </c>
      <c r="F5" s="934">
        <f>'Upstream&amp;Supply'!F16</f>
        <v>10289</v>
      </c>
      <c r="G5" s="323">
        <f>'Upstream&amp;Supply'!G16</f>
        <v>18493</v>
      </c>
      <c r="H5" s="934">
        <f>'Upstream&amp;Supply'!H16</f>
        <v>5356</v>
      </c>
      <c r="I5" s="934">
        <f>'Upstream&amp;Supply'!I16</f>
        <v>3344</v>
      </c>
      <c r="J5" s="934">
        <f>'Upstream&amp;Supply'!J16</f>
        <v>3301</v>
      </c>
      <c r="K5" s="934">
        <f>'Upstream&amp;Supply'!K16</f>
        <v>4215</v>
      </c>
      <c r="L5" s="323">
        <f>'Upstream&amp;Supply'!L16</f>
        <v>16216</v>
      </c>
      <c r="M5" s="1"/>
      <c r="N5" s="1"/>
      <c r="O5" s="1"/>
    </row>
    <row r="6" spans="2:15">
      <c r="B6" s="285" t="str">
        <f>names!A2255</f>
        <v>Downstream</v>
      </c>
      <c r="C6" s="935">
        <f>Downstream!C16</f>
        <v>2354</v>
      </c>
      <c r="D6" s="935">
        <f>Downstream!D16</f>
        <v>2761</v>
      </c>
      <c r="E6" s="935">
        <f>Downstream!E16</f>
        <v>884</v>
      </c>
      <c r="F6" s="935">
        <f>Downstream!F16</f>
        <v>1033</v>
      </c>
      <c r="G6" s="324">
        <f>Downstream!G16</f>
        <v>7032</v>
      </c>
      <c r="H6" s="935">
        <f>Downstream!H16</f>
        <v>1221</v>
      </c>
      <c r="I6" s="935">
        <f>Downstream!I16</f>
        <v>2199</v>
      </c>
      <c r="J6" s="935">
        <f>Downstream!J16</f>
        <v>2428</v>
      </c>
      <c r="K6" s="935">
        <f>Downstream!K16</f>
        <v>3663</v>
      </c>
      <c r="L6" s="324">
        <f>Downstream!L16</f>
        <v>9511</v>
      </c>
      <c r="M6" s="1"/>
      <c r="N6" s="1"/>
      <c r="O6" s="1"/>
    </row>
    <row r="7" spans="2:15">
      <c r="B7" s="285" t="str">
        <f>names!A2256</f>
        <v>Energy</v>
      </c>
      <c r="C7" s="935">
        <f>Energy!C14</f>
        <v>3695</v>
      </c>
      <c r="D7" s="935">
        <f>Energy!D14</f>
        <v>1886</v>
      </c>
      <c r="E7" s="935">
        <f>Energy!E14</f>
        <v>1697</v>
      </c>
      <c r="F7" s="935">
        <f>Energy!F14</f>
        <v>3618</v>
      </c>
      <c r="G7" s="324">
        <f>Energy!G14</f>
        <v>10896</v>
      </c>
      <c r="H7" s="935">
        <f>Energy!H14</f>
        <v>4309</v>
      </c>
      <c r="I7" s="935">
        <f>Energy!I14</f>
        <v>2255</v>
      </c>
      <c r="J7" s="935">
        <f>Energy!J14</f>
        <v>2240</v>
      </c>
      <c r="K7" s="935">
        <f>Energy!K14</f>
        <v>3675</v>
      </c>
      <c r="L7" s="324">
        <f>Energy!L14</f>
        <v>12479</v>
      </c>
      <c r="M7" s="1"/>
      <c r="N7" s="1"/>
      <c r="O7" s="1"/>
    </row>
    <row r="8" spans="2:15" ht="12.75" customHeight="1">
      <c r="B8" s="285" t="str">
        <f>names!A2257</f>
        <v>Consumers &amp; Products</v>
      </c>
      <c r="C8" s="935">
        <f>'Consumers&amp;Products'!C14</f>
        <v>270</v>
      </c>
      <c r="D8" s="935">
        <f>'Consumers&amp;Products'!D14</f>
        <v>1636</v>
      </c>
      <c r="E8" s="935">
        <f>'Consumers&amp;Products'!E14</f>
        <v>1247</v>
      </c>
      <c r="F8" s="935">
        <f>'Consumers&amp;Products'!F14</f>
        <v>-160</v>
      </c>
      <c r="G8" s="324">
        <f>'Consumers&amp;Products'!G14</f>
        <v>2993</v>
      </c>
      <c r="H8" s="935">
        <f>'Consumers&amp;Products'!H14</f>
        <v>1233</v>
      </c>
      <c r="I8" s="935">
        <f>'Consumers&amp;Products'!I14</f>
        <v>1999</v>
      </c>
      <c r="J8" s="935">
        <f>'Consumers&amp;Products'!J14</f>
        <v>1578</v>
      </c>
      <c r="K8" s="935">
        <f>'Consumers&amp;Products'!K14</f>
        <v>1206</v>
      </c>
      <c r="L8" s="324">
        <f>'Consumers&amp;Products'!L14</f>
        <v>6016</v>
      </c>
      <c r="M8" s="1"/>
      <c r="N8" s="1"/>
      <c r="O8" s="1"/>
    </row>
    <row r="9" spans="2:15" ht="12.75" customHeight="1">
      <c r="B9" s="285" t="str">
        <f>names!A2258</f>
        <v>Corporate functions1</v>
      </c>
      <c r="C9" s="935">
        <f>'EBITDA, EBIT, Amortyzacja'!D18</f>
        <v>-704</v>
      </c>
      <c r="D9" s="935">
        <f>'EBITDA, EBIT, Amortyzacja'!F18</f>
        <v>-405</v>
      </c>
      <c r="E9" s="935">
        <f>'EBITDA, EBIT, Amortyzacja'!H18</f>
        <v>-404</v>
      </c>
      <c r="F9" s="935">
        <f>'EBITDA, EBIT, Amortyzacja'!J18</f>
        <v>-481</v>
      </c>
      <c r="G9" s="324">
        <f>'EBITDA, EBIT, Amortyzacja'!L18</f>
        <v>-1994</v>
      </c>
      <c r="H9" s="935">
        <f>'EBITDA, EBIT, Amortyzacja'!N18</f>
        <v>-514</v>
      </c>
      <c r="I9" s="935">
        <f>'EBITDA, EBIT, Amortyzacja'!P18</f>
        <v>-593</v>
      </c>
      <c r="J9" s="935">
        <f>'EBITDA, EBIT, Amortyzacja'!R18</f>
        <v>-660</v>
      </c>
      <c r="K9" s="935">
        <f>'EBITDA, EBIT, Amortyzacja'!T18</f>
        <v>-605</v>
      </c>
      <c r="L9" s="324">
        <f>'EBITDA, EBIT, Amortyzacja'!V18</f>
        <v>-2372</v>
      </c>
      <c r="M9" s="1"/>
      <c r="N9" s="1"/>
      <c r="O9" s="1"/>
    </row>
    <row r="10" spans="2:15" s="1" customFormat="1" ht="21" customHeight="1">
      <c r="B10" s="881" t="str">
        <f>names!A2259</f>
        <v>Odpisy aktualizujące wartość aktywów trwałych</v>
      </c>
      <c r="C10" s="882">
        <f>'EBITDA, EBIT, Amortyzacja'!D69</f>
        <v>-718</v>
      </c>
      <c r="D10" s="882">
        <f>'EBITDA, EBIT, Amortyzacja'!F69</f>
        <v>-521</v>
      </c>
      <c r="E10" s="882">
        <f>'EBITDA, EBIT, Amortyzacja'!H69</f>
        <v>-3524</v>
      </c>
      <c r="F10" s="882">
        <f>'EBITDA, EBIT, Amortyzacja'!J69</f>
        <v>-8752</v>
      </c>
      <c r="G10" s="883">
        <f>'EBITDA, EBIT, Amortyzacja'!L69</f>
        <v>-13515</v>
      </c>
      <c r="H10" s="882">
        <f>'EBITDA, EBIT, Amortyzacja'!N69</f>
        <v>-1404</v>
      </c>
      <c r="I10" s="882">
        <f>'EBITDA, EBIT, Amortyzacja'!P69</f>
        <v>-1489</v>
      </c>
      <c r="J10" s="882">
        <f>'EBITDA, EBIT, Amortyzacja'!R69</f>
        <v>-1718</v>
      </c>
      <c r="K10" s="882">
        <f>'EBITDA, EBIT, Amortyzacja'!T69</f>
        <v>-3341</v>
      </c>
      <c r="L10" s="883">
        <f>'EBITDA, EBIT, Amortyzacja'!V69</f>
        <v>-7952</v>
      </c>
    </row>
    <row r="11" spans="2:15" s="1" customFormat="1" ht="21" customHeight="1">
      <c r="B11" s="881" t="str">
        <f>names!A2260</f>
        <v>EBITDA LIFO</v>
      </c>
      <c r="C11" s="882">
        <f>C4+C10</f>
        <v>7560</v>
      </c>
      <c r="D11" s="882">
        <f>D4+D10</f>
        <v>4441</v>
      </c>
      <c r="E11" s="882">
        <f>E4+E10</f>
        <v>6357</v>
      </c>
      <c r="F11" s="882">
        <f t="shared" ref="F11:L11" si="1">F4+F10</f>
        <v>5547</v>
      </c>
      <c r="G11" s="883">
        <f t="shared" si="1"/>
        <v>23905</v>
      </c>
      <c r="H11" s="882">
        <f t="shared" si="1"/>
        <v>10201</v>
      </c>
      <c r="I11" s="882">
        <f t="shared" si="1"/>
        <v>7715</v>
      </c>
      <c r="J11" s="882">
        <f t="shared" si="1"/>
        <v>7169</v>
      </c>
      <c r="K11" s="882">
        <f t="shared" si="1"/>
        <v>8813</v>
      </c>
      <c r="L11" s="883">
        <f t="shared" si="1"/>
        <v>33898</v>
      </c>
    </row>
    <row r="12" spans="2:15" s="1" customFormat="1" ht="21" customHeight="1">
      <c r="B12" s="881" t="str">
        <f>names!A2261</f>
        <v>Efekt LIFO</v>
      </c>
      <c r="C12" s="882">
        <f>'EBITDA, EBIT, Amortyzacja'!D63</f>
        <v>64</v>
      </c>
      <c r="D12" s="882">
        <f>'EBITDA, EBIT, Amortyzacja'!F63</f>
        <v>33</v>
      </c>
      <c r="E12" s="882">
        <f>'EBITDA, EBIT, Amortyzacja'!H63</f>
        <v>-324</v>
      </c>
      <c r="F12" s="882">
        <f>'EBITDA, EBIT, Amortyzacja'!J63</f>
        <v>-44</v>
      </c>
      <c r="G12" s="883">
        <f>'EBITDA, EBIT, Amortyzacja'!L63</f>
        <v>-271</v>
      </c>
      <c r="H12" s="882">
        <f>'EBITDA, EBIT, Amortyzacja'!N63</f>
        <v>-34</v>
      </c>
      <c r="I12" s="882">
        <f>'EBITDA, EBIT, Amortyzacja'!P63</f>
        <v>-874</v>
      </c>
      <c r="J12" s="882">
        <f>'EBITDA, EBIT, Amortyzacja'!R63</f>
        <v>127</v>
      </c>
      <c r="K12" s="882">
        <f>'EBITDA, EBIT, Amortyzacja'!T63</f>
        <v>-277</v>
      </c>
      <c r="L12" s="883">
        <f>'EBITDA, EBIT, Amortyzacja'!V63</f>
        <v>-1058</v>
      </c>
    </row>
    <row r="13" spans="2:15" s="1" customFormat="1" ht="21" customHeight="1">
      <c r="B13" s="881" t="str">
        <f>names!A2262</f>
        <v>EBITDA</v>
      </c>
      <c r="C13" s="882">
        <f>C11+C12</f>
        <v>7624</v>
      </c>
      <c r="D13" s="882">
        <f>D11+D12</f>
        <v>4474</v>
      </c>
      <c r="E13" s="882">
        <f>E11+E12</f>
        <v>6033</v>
      </c>
      <c r="F13" s="882">
        <f t="shared" ref="F13:H13" si="2">F11+F12</f>
        <v>5503</v>
      </c>
      <c r="G13" s="883">
        <f t="shared" si="2"/>
        <v>23634</v>
      </c>
      <c r="H13" s="882">
        <f t="shared" si="2"/>
        <v>10167</v>
      </c>
      <c r="I13" s="882">
        <f t="shared" ref="I13" si="3">I11+I12</f>
        <v>6841</v>
      </c>
      <c r="J13" s="882">
        <f t="shared" ref="J13" si="4">J11+J12</f>
        <v>7296</v>
      </c>
      <c r="K13" s="882">
        <f t="shared" ref="K13" si="5">K11+K12</f>
        <v>8536</v>
      </c>
      <c r="L13" s="883">
        <f t="shared" ref="L13" si="6">L11+L12</f>
        <v>32840</v>
      </c>
    </row>
    <row r="14" spans="2:15" s="1" customFormat="1" ht="21" customHeight="1">
      <c r="B14" s="881" t="str">
        <f>names!A2263</f>
        <v>Amortyzacja</v>
      </c>
      <c r="C14" s="882">
        <f>'EBITDA, EBIT, Amortyzacja'!D42</f>
        <v>3356</v>
      </c>
      <c r="D14" s="882">
        <f>'EBITDA, EBIT, Amortyzacja'!F42</f>
        <v>3502</v>
      </c>
      <c r="E14" s="882">
        <f>'EBITDA, EBIT, Amortyzacja'!H42</f>
        <v>3365</v>
      </c>
      <c r="F14" s="882">
        <f>'EBITDA, EBIT, Amortyzacja'!J42</f>
        <v>3791</v>
      </c>
      <c r="G14" s="883">
        <f>'EBITDA, EBIT, Amortyzacja'!L42</f>
        <v>14014</v>
      </c>
      <c r="H14" s="882">
        <f>'EBITDA, EBIT, Amortyzacja'!N42</f>
        <v>3347</v>
      </c>
      <c r="I14" s="882">
        <f>'EBITDA, EBIT, Amortyzacja'!P42</f>
        <v>3491</v>
      </c>
      <c r="J14" s="882">
        <f>'EBITDA, EBIT, Amortyzacja'!R42</f>
        <v>3534</v>
      </c>
      <c r="K14" s="882">
        <f>'EBITDA, EBIT, Amortyzacja'!T42</f>
        <v>3986</v>
      </c>
      <c r="L14" s="883">
        <f>'EBITDA, EBIT, Amortyzacja'!V42</f>
        <v>14358</v>
      </c>
    </row>
    <row r="15" spans="2:15" s="1" customFormat="1" ht="21" customHeight="1">
      <c r="B15" s="881" t="str">
        <f>names!A2264</f>
        <v>EBIT LIFO</v>
      </c>
      <c r="C15" s="882">
        <f>C11-C14</f>
        <v>4204</v>
      </c>
      <c r="D15" s="882">
        <f>D11-D14</f>
        <v>939</v>
      </c>
      <c r="E15" s="882">
        <f>E11-E14</f>
        <v>2992</v>
      </c>
      <c r="F15" s="882">
        <f t="shared" ref="F15:L15" si="7">F11-F14</f>
        <v>1756</v>
      </c>
      <c r="G15" s="883">
        <f t="shared" si="7"/>
        <v>9891</v>
      </c>
      <c r="H15" s="882">
        <f t="shared" si="7"/>
        <v>6854</v>
      </c>
      <c r="I15" s="882">
        <f t="shared" si="7"/>
        <v>4224</v>
      </c>
      <c r="J15" s="882">
        <f t="shared" si="7"/>
        <v>3635</v>
      </c>
      <c r="K15" s="882">
        <f t="shared" si="7"/>
        <v>4827</v>
      </c>
      <c r="L15" s="883">
        <f t="shared" si="7"/>
        <v>19540</v>
      </c>
    </row>
    <row r="16" spans="2:15" s="1" customFormat="1" ht="21" customHeight="1">
      <c r="B16" s="881" t="str">
        <f>names!A2265</f>
        <v>EBIT</v>
      </c>
      <c r="C16" s="882">
        <f t="shared" ref="C16:L16" si="8">C13-C14</f>
        <v>4268</v>
      </c>
      <c r="D16" s="882">
        <f t="shared" si="8"/>
        <v>972</v>
      </c>
      <c r="E16" s="882">
        <f t="shared" si="8"/>
        <v>2668</v>
      </c>
      <c r="F16" s="882">
        <f t="shared" si="8"/>
        <v>1712</v>
      </c>
      <c r="G16" s="883">
        <f t="shared" si="8"/>
        <v>9620</v>
      </c>
      <c r="H16" s="882">
        <f t="shared" si="8"/>
        <v>6820</v>
      </c>
      <c r="I16" s="882">
        <f t="shared" si="8"/>
        <v>3350</v>
      </c>
      <c r="J16" s="882">
        <f t="shared" si="8"/>
        <v>3762</v>
      </c>
      <c r="K16" s="882">
        <f t="shared" si="8"/>
        <v>4550</v>
      </c>
      <c r="L16" s="883">
        <f t="shared" si="8"/>
        <v>18482</v>
      </c>
    </row>
    <row r="17" spans="2:13" s="1" customFormat="1" ht="21.6" customHeight="1">
      <c r="B17" s="881" t="str">
        <f>names!A2266</f>
        <v>Wynik netto</v>
      </c>
      <c r="C17" s="882">
        <f>RZiS!C19</f>
        <v>2798</v>
      </c>
      <c r="D17" s="882">
        <f>RZiS!D19</f>
        <v>26</v>
      </c>
      <c r="E17" s="882">
        <f>RZiS!E19</f>
        <v>188</v>
      </c>
      <c r="F17" s="882">
        <f>RZiS!F19</f>
        <v>-632</v>
      </c>
      <c r="G17" s="883">
        <f>RZiS!G19</f>
        <v>2676</v>
      </c>
      <c r="H17" s="882">
        <f>RZiS!H19</f>
        <v>4324</v>
      </c>
      <c r="I17" s="882">
        <f>RZiS!I19</f>
        <v>1608</v>
      </c>
      <c r="J17" s="882">
        <f>RZiS!J19</f>
        <v>2162</v>
      </c>
      <c r="K17" s="882">
        <f>RZiS!K19</f>
        <v>3154</v>
      </c>
      <c r="L17" s="883">
        <f>RZiS!L19</f>
        <v>11248</v>
      </c>
    </row>
    <row r="18" spans="2:13" s="1" customFormat="1" ht="21" customHeight="1" thickBot="1">
      <c r="B18" s="901"/>
      <c r="C18" s="902"/>
      <c r="D18" s="902"/>
      <c r="E18" s="902"/>
      <c r="F18" s="902"/>
      <c r="G18" s="903"/>
      <c r="H18" s="902"/>
      <c r="I18" s="902"/>
      <c r="J18" s="902"/>
      <c r="K18" s="902"/>
      <c r="L18" s="903"/>
    </row>
    <row r="19" spans="2:13" s="1" customFormat="1" ht="21" customHeight="1" thickTop="1">
      <c r="B19" s="875" t="str">
        <f>names!A2268</f>
        <v>Aktywa razem</v>
      </c>
      <c r="C19" s="876">
        <v>263203</v>
      </c>
      <c r="D19" s="876">
        <v>259699</v>
      </c>
      <c r="E19" s="876">
        <v>252904</v>
      </c>
      <c r="F19" s="876">
        <f>'[19]Aktywa i Pasywa IVQ_25_szczeg'!$F$45</f>
        <v>254797</v>
      </c>
      <c r="G19" s="877">
        <f>F19</f>
        <v>254797</v>
      </c>
      <c r="H19" s="876">
        <f>Bilans!D21</f>
        <v>260752</v>
      </c>
      <c r="I19" s="876">
        <f>Bilans!E21</f>
        <v>265334</v>
      </c>
      <c r="J19" s="876">
        <f>Bilans!F21</f>
        <v>260227</v>
      </c>
      <c r="K19" s="876">
        <f>Bilans!G21</f>
        <v>272401</v>
      </c>
      <c r="L19" s="877">
        <f>K19</f>
        <v>272401</v>
      </c>
    </row>
    <row r="20" spans="2:13" s="1" customFormat="1" ht="21" customHeight="1">
      <c r="B20" s="881" t="str">
        <f>names!A2269</f>
        <v>Kapitał własny</v>
      </c>
      <c r="C20" s="882">
        <v>153983</v>
      </c>
      <c r="D20" s="882">
        <v>149265</v>
      </c>
      <c r="E20" s="882">
        <v>148402</v>
      </c>
      <c r="F20" s="882">
        <f>'[19]Aktywa i Pasywa IVQ_25_szczeg'!$F$60</f>
        <v>146863</v>
      </c>
      <c r="G20" s="883">
        <f>F20</f>
        <v>146863</v>
      </c>
      <c r="H20" s="882">
        <f>Bilans!D30</f>
        <v>150665</v>
      </c>
      <c r="I20" s="882">
        <f>Bilans!E30</f>
        <v>145760</v>
      </c>
      <c r="J20" s="882">
        <f>Bilans!F30</f>
        <v>149029</v>
      </c>
      <c r="K20" s="882">
        <f>Bilans!G30</f>
        <v>153306</v>
      </c>
      <c r="L20" s="883">
        <f>K20</f>
        <v>153306</v>
      </c>
    </row>
    <row r="21" spans="2:13" s="1" customFormat="1" ht="21" customHeight="1">
      <c r="B21" s="881" t="str">
        <f>names!A2270</f>
        <v>Środki pieniężne netto z działalności operacyjnej</v>
      </c>
      <c r="C21" s="882">
        <f>CashFlow!C24</f>
        <v>11670</v>
      </c>
      <c r="D21" s="882">
        <f>CashFlow!D24</f>
        <v>5963</v>
      </c>
      <c r="E21" s="882">
        <f>CashFlow!E24</f>
        <v>8572</v>
      </c>
      <c r="F21" s="882">
        <f>CashFlow!F24</f>
        <v>10429</v>
      </c>
      <c r="G21" s="883">
        <f>CashFlow!G24</f>
        <v>36634</v>
      </c>
      <c r="H21" s="882">
        <f>CashFlow!H24</f>
        <v>15742</v>
      </c>
      <c r="I21" s="882">
        <f>CashFlow!I24</f>
        <v>10489</v>
      </c>
      <c r="J21" s="882">
        <f>CashFlow!J24</f>
        <v>8218</v>
      </c>
      <c r="K21" s="882">
        <f>CashFlow!K24</f>
        <v>12915</v>
      </c>
      <c r="L21" s="883">
        <f>CashFlow!L24</f>
        <v>47364</v>
      </c>
    </row>
    <row r="22" spans="2:13" s="1" customFormat="1" ht="21" customHeight="1">
      <c r="B22" s="881" t="str">
        <f>names!A2271</f>
        <v>Środki pieniężne netto z działalności inwestycyjnej</v>
      </c>
      <c r="C22" s="882">
        <f>CashFlow!C29</f>
        <v>-9778</v>
      </c>
      <c r="D22" s="882">
        <f>CashFlow!D29</f>
        <v>-6938</v>
      </c>
      <c r="E22" s="882">
        <f>CashFlow!E29</f>
        <v>-6523</v>
      </c>
      <c r="F22" s="882">
        <f>CashFlow!F29</f>
        <v>-10812</v>
      </c>
      <c r="G22" s="883">
        <f>CashFlow!G29</f>
        <v>-34051</v>
      </c>
      <c r="H22" s="882">
        <f>CashFlow!H29</f>
        <v>-6786</v>
      </c>
      <c r="I22" s="882">
        <f>CashFlow!I29</f>
        <v>-6469</v>
      </c>
      <c r="J22" s="882">
        <f>CashFlow!J29</f>
        <v>-7359</v>
      </c>
      <c r="K22" s="882">
        <f>CashFlow!K29</f>
        <v>-10235</v>
      </c>
      <c r="L22" s="883">
        <f>CashFlow!L29</f>
        <v>-30849</v>
      </c>
    </row>
    <row r="23" spans="2:13" s="1" customFormat="1" ht="21" customHeight="1">
      <c r="B23" s="929" t="str">
        <f>names!A2272</f>
        <v>Nakłady inwestycyjne</v>
      </c>
      <c r="C23" s="882">
        <v>6399</v>
      </c>
      <c r="D23" s="882">
        <v>7591</v>
      </c>
      <c r="E23" s="882">
        <v>6776</v>
      </c>
      <c r="F23" s="882">
        <v>11598</v>
      </c>
      <c r="G23" s="883">
        <v>32364</v>
      </c>
      <c r="H23" s="882">
        <v>6174</v>
      </c>
      <c r="I23" s="882">
        <v>7592</v>
      </c>
      <c r="J23" s="882">
        <v>7343</v>
      </c>
      <c r="K23" s="882">
        <v>10768</v>
      </c>
      <c r="L23" s="883">
        <v>31877</v>
      </c>
    </row>
    <row r="24" spans="2:13" s="1" customFormat="1" ht="21" customHeight="1">
      <c r="B24" s="929" t="str">
        <f>names!A2273</f>
        <v>Dług netto2</v>
      </c>
      <c r="C24" s="882">
        <v>780</v>
      </c>
      <c r="D24" s="882">
        <v>2362</v>
      </c>
      <c r="E24" s="882">
        <v>820</v>
      </c>
      <c r="F24" s="882">
        <v>7024</v>
      </c>
      <c r="G24" s="883">
        <v>7024</v>
      </c>
      <c r="H24" s="882">
        <v>-1220</v>
      </c>
      <c r="I24" s="882">
        <v>-5503.6</v>
      </c>
      <c r="J24" s="882">
        <v>1030</v>
      </c>
      <c r="K24" s="882">
        <v>-1430.433757</v>
      </c>
      <c r="L24" s="883">
        <v>-1430.433757</v>
      </c>
    </row>
    <row r="25" spans="2:13" s="1" customFormat="1" ht="21" customHeight="1">
      <c r="B25" s="929" t="str">
        <f>names!A2274</f>
        <v>Dług netto/EBITDA3</v>
      </c>
      <c r="C25" s="928">
        <v>-0.01</v>
      </c>
      <c r="D25" s="928">
        <v>0.06</v>
      </c>
      <c r="E25" s="928">
        <v>0.01</v>
      </c>
      <c r="F25" s="928">
        <v>0.23</v>
      </c>
      <c r="G25" s="962">
        <f>F25</f>
        <v>0.23</v>
      </c>
      <c r="H25" s="928">
        <v>-0.08</v>
      </c>
      <c r="I25" s="928">
        <v>-0.17</v>
      </c>
      <c r="J25" s="928">
        <v>0.02</v>
      </c>
      <c r="K25" s="928">
        <v>-7.0000000000000007E-2</v>
      </c>
      <c r="L25" s="962">
        <f>K25</f>
        <v>-7.0000000000000007E-2</v>
      </c>
    </row>
    <row r="26" spans="2:13" s="1" customFormat="1" ht="21" customHeight="1">
      <c r="B26" s="875"/>
      <c r="C26" s="131"/>
      <c r="D26" s="131"/>
      <c r="E26" s="131"/>
      <c r="F26" s="875"/>
      <c r="G26" s="875"/>
      <c r="H26" s="131"/>
      <c r="I26" s="131"/>
      <c r="J26" s="131"/>
      <c r="K26" s="131"/>
      <c r="L26" s="131"/>
    </row>
    <row r="27" spans="2:13" s="1" customFormat="1">
      <c r="B27" s="885" t="str">
        <f>names!A2276</f>
        <v>1) uwzględnia Wyłączenia</v>
      </c>
      <c r="C27" s="875"/>
      <c r="D27" s="875"/>
      <c r="E27" s="875"/>
      <c r="F27" s="875"/>
      <c r="G27" s="875"/>
      <c r="H27" s="875"/>
      <c r="I27" s="131"/>
      <c r="J27" s="131"/>
      <c r="K27" s="131"/>
      <c r="L27" s="131"/>
    </row>
    <row r="28" spans="2:13" s="1" customFormat="1">
      <c r="B28" s="885" t="str">
        <f>names!A2277</f>
        <v>2) Dług netto = (krótkoterminowe + długoterminowe zobowiązania z tytułu kredytów, pożyczek dłużne pap. wart.) – środki pieniężne</v>
      </c>
      <c r="C28" s="875"/>
      <c r="D28" s="875"/>
      <c r="E28" s="875"/>
      <c r="F28" s="875"/>
      <c r="G28" s="875"/>
      <c r="H28" s="875"/>
      <c r="I28" s="131"/>
      <c r="J28" s="131"/>
      <c r="K28" s="131"/>
      <c r="L28" s="131"/>
    </row>
    <row r="29" spans="2:13" s="1" customFormat="1">
      <c r="B29" s="885" t="str">
        <f>names!A2278</f>
        <v>3) Dług netto/EBITDA z ostatnich czterech kwartałów</v>
      </c>
      <c r="C29" s="875"/>
      <c r="D29" s="875"/>
      <c r="E29" s="875"/>
      <c r="F29" s="875"/>
      <c r="G29" s="875"/>
      <c r="H29" s="875"/>
      <c r="I29" s="131"/>
      <c r="J29" s="131"/>
      <c r="K29" s="131"/>
      <c r="L29" s="131"/>
    </row>
    <row r="30" spans="2:13">
      <c r="B30" s="886" t="str">
        <f>names!A2279</f>
        <v>*) Dane przekształcone</v>
      </c>
    </row>
    <row r="31" spans="2:13">
      <c r="B31" s="577"/>
      <c r="C31" s="577"/>
      <c r="D31" s="577"/>
      <c r="E31" s="577"/>
      <c r="F31" s="577"/>
      <c r="G31" s="577"/>
      <c r="H31" s="577"/>
      <c r="I31" s="577"/>
      <c r="J31" s="577"/>
      <c r="K31" s="577"/>
      <c r="L31" s="577"/>
      <c r="M31" s="577"/>
    </row>
    <row r="36" spans="2:2">
      <c r="B36" s="269"/>
    </row>
  </sheetData>
  <conditionalFormatting sqref="B31:M31">
    <cfRule type="cellIs" dxfId="125"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B1:AC81"/>
  <sheetViews>
    <sheetView showGridLines="0" view="pageBreakPreview" zoomScaleNormal="90" zoomScaleSheetLayoutView="100" workbookViewId="0">
      <pane xSplit="2" ySplit="4" topLeftCell="C5" activePane="bottomRight" state="frozen"/>
      <selection activeCell="AO21" sqref="AO21"/>
      <selection pane="topRight" activeCell="AO21" sqref="AO21"/>
      <selection pane="bottomLeft" activeCell="AO21" sqref="AO21"/>
      <selection pane="bottomRight"/>
    </sheetView>
  </sheetViews>
  <sheetFormatPr defaultColWidth="9.28515625" defaultRowHeight="11.25" outlineLevelCol="1"/>
  <cols>
    <col min="1" max="1" width="1.28515625" style="371" customWidth="1"/>
    <col min="2" max="2" width="40.42578125" style="371" customWidth="1"/>
    <col min="3" max="3" width="9.42578125" style="371" customWidth="1"/>
    <col min="4" max="4" width="11.7109375" style="371" customWidth="1"/>
    <col min="5" max="5" width="9.42578125" style="371" customWidth="1"/>
    <col min="6" max="6" width="11.7109375" style="371" customWidth="1"/>
    <col min="7" max="7" width="8.42578125" style="371" customWidth="1"/>
    <col min="8" max="8" width="11" style="371" customWidth="1"/>
    <col min="9" max="9" width="8.42578125" style="371" customWidth="1" outlineLevel="1"/>
    <col min="10" max="10" width="11.7109375" style="371" customWidth="1" outlineLevel="1"/>
    <col min="11" max="11" width="8.42578125" style="371" customWidth="1" outlineLevel="1"/>
    <col min="12" max="12" width="11.7109375" style="371" customWidth="1" outlineLevel="1"/>
    <col min="13" max="13" width="9.42578125" style="371" customWidth="1"/>
    <col min="14" max="14" width="11.7109375" style="371" customWidth="1"/>
    <col min="15" max="15" width="9.42578125" style="371" customWidth="1"/>
    <col min="16" max="16" width="11.7109375" style="371" customWidth="1"/>
    <col min="17" max="17" width="8.42578125" style="371" customWidth="1"/>
    <col min="18" max="18" width="11" style="371" customWidth="1"/>
    <col min="19" max="19" width="8.42578125" style="371" customWidth="1" outlineLevel="1"/>
    <col min="20" max="20" width="11.7109375" style="371" customWidth="1" outlineLevel="1"/>
    <col min="21" max="21" width="8.42578125" style="371" customWidth="1" outlineLevel="1"/>
    <col min="22" max="22" width="11.7109375" style="371" customWidth="1" outlineLevel="1"/>
    <col min="23" max="16384" width="9.28515625" style="371"/>
  </cols>
  <sheetData>
    <row r="1" spans="2:29" ht="10.15" customHeight="1"/>
    <row r="2" spans="2:29" ht="15.75" customHeight="1">
      <c r="B2" s="396" t="str">
        <f>names!A333</f>
        <v>EBITDA LIFO</v>
      </c>
    </row>
    <row r="3" spans="2:29" ht="10.15" customHeight="1">
      <c r="H3" s="419"/>
    </row>
    <row r="4" spans="2:29" ht="72" customHeight="1">
      <c r="B4" s="372" t="str">
        <f>names!A335</f>
        <v>Wyszczególnienie, 
mln PLN</v>
      </c>
      <c r="C4" s="372" t="str">
        <f>names!$A2095</f>
        <v>I kw. 
2024*</v>
      </c>
      <c r="D4" s="372" t="str">
        <f>names!$A443</f>
        <v>I kw.
2024
przed odpisem**</v>
      </c>
      <c r="E4" s="372" t="str">
        <f>names!$A2096</f>
        <v>II kw. 
2024*</v>
      </c>
      <c r="F4" s="372" t="str">
        <f>names!$A445</f>
        <v>II kw.
2024
przed odpisem**</v>
      </c>
      <c r="G4" s="372" t="str">
        <f>names!$A2097</f>
        <v>III kw. 
2024*</v>
      </c>
      <c r="H4" s="372" t="str">
        <f>names!$A447</f>
        <v>III kw.
2024
przed odpisem**</v>
      </c>
      <c r="I4" s="372" t="str">
        <f>names!$A2098</f>
        <v>IV kw. 
2024*</v>
      </c>
      <c r="J4" s="372" t="str">
        <f>names!$A449</f>
        <v>IV kw.
2024
przed odpisem**</v>
      </c>
      <c r="K4" s="372" t="str">
        <f>names!$A2099</f>
        <v>12 m-cy 2024*</v>
      </c>
      <c r="L4" s="372" t="str">
        <f>names!$A451</f>
        <v>12 m-cy
2024
przed odpisem**</v>
      </c>
      <c r="M4" s="372" t="str">
        <f>names!$A174</f>
        <v>I kw. 
2025</v>
      </c>
      <c r="N4" s="372" t="str">
        <f>names!$A2126</f>
        <v>I kw.
2025
przed odpisem**</v>
      </c>
      <c r="O4" s="372" t="str">
        <f>names!$A175</f>
        <v>II kw. 
2025</v>
      </c>
      <c r="P4" s="372" t="str">
        <f>names!$A2127</f>
        <v>II kw.
2025
przed odpisem**</v>
      </c>
      <c r="Q4" s="372" t="str">
        <f>names!$A176</f>
        <v>III kw. 
2025</v>
      </c>
      <c r="R4" s="372" t="str">
        <f>names!$A2128</f>
        <v>III kw.
2025
przed odpisem**</v>
      </c>
      <c r="S4" s="372" t="str">
        <f>names!$A177</f>
        <v>IV kw. 
2025</v>
      </c>
      <c r="T4" s="372" t="str">
        <f>names!$A2129</f>
        <v>IV kw.
2025
przed odpisem**</v>
      </c>
      <c r="U4" s="372" t="str">
        <f>names!$A178</f>
        <v>12 m-cy 2025</v>
      </c>
      <c r="V4" s="372" t="str">
        <f>names!$A2130</f>
        <v>12 m-cy
2025
przed odpisem**</v>
      </c>
    </row>
    <row r="5" spans="2:29">
      <c r="B5" s="802" t="str">
        <f>names!A2319</f>
        <v>Upstream &amp; Supply</v>
      </c>
      <c r="C5" s="803">
        <v>2620</v>
      </c>
      <c r="D5" s="803">
        <v>2663</v>
      </c>
      <c r="E5" s="803">
        <v>-947</v>
      </c>
      <c r="F5" s="803">
        <v>-916</v>
      </c>
      <c r="G5" s="803">
        <v>6275</v>
      </c>
      <c r="H5" s="803">
        <v>6457</v>
      </c>
      <c r="I5" s="803">
        <v>10388</v>
      </c>
      <c r="J5" s="803">
        <v>10289</v>
      </c>
      <c r="K5" s="803">
        <v>18336</v>
      </c>
      <c r="L5" s="803">
        <v>18493</v>
      </c>
      <c r="M5" s="803">
        <v>5219</v>
      </c>
      <c r="N5" s="803">
        <v>5356</v>
      </c>
      <c r="O5" s="803">
        <v>2968</v>
      </c>
      <c r="P5" s="803">
        <v>3344</v>
      </c>
      <c r="Q5" s="803">
        <v>3290</v>
      </c>
      <c r="R5" s="803">
        <v>3301</v>
      </c>
      <c r="S5" s="803">
        <v>3645</v>
      </c>
      <c r="T5" s="803">
        <v>4215</v>
      </c>
      <c r="U5" s="803">
        <v>15122</v>
      </c>
      <c r="V5" s="803">
        <v>16216</v>
      </c>
    </row>
    <row r="6" spans="2:29" s="375" customFormat="1">
      <c r="B6" s="924" t="str">
        <f>names!A2320</f>
        <v>Upstream</v>
      </c>
      <c r="C6" s="379">
        <v>-4065</v>
      </c>
      <c r="D6" s="379">
        <v>-4022</v>
      </c>
      <c r="E6" s="379">
        <v>-3783</v>
      </c>
      <c r="F6" s="379">
        <v>-3752</v>
      </c>
      <c r="G6" s="379">
        <v>3246</v>
      </c>
      <c r="H6" s="379">
        <v>3428</v>
      </c>
      <c r="I6" s="379">
        <v>5125</v>
      </c>
      <c r="J6" s="379">
        <v>5026</v>
      </c>
      <c r="K6" s="379">
        <v>523</v>
      </c>
      <c r="L6" s="379">
        <v>680</v>
      </c>
      <c r="M6" s="379">
        <v>4791</v>
      </c>
      <c r="N6" s="379">
        <v>4928</v>
      </c>
      <c r="O6" s="379">
        <v>2604</v>
      </c>
      <c r="P6" s="379">
        <v>2977</v>
      </c>
      <c r="Q6" s="379">
        <v>3041</v>
      </c>
      <c r="R6" s="379">
        <v>3052</v>
      </c>
      <c r="S6" s="379">
        <v>2762</v>
      </c>
      <c r="T6" s="379">
        <v>3332</v>
      </c>
      <c r="U6" s="379">
        <v>13198</v>
      </c>
      <c r="V6" s="379">
        <v>14289</v>
      </c>
      <c r="W6" s="371"/>
      <c r="X6" s="371"/>
      <c r="Y6" s="371"/>
      <c r="Z6" s="371"/>
      <c r="AA6" s="371"/>
      <c r="AB6" s="371"/>
      <c r="AC6" s="371"/>
    </row>
    <row r="7" spans="2:29" s="375" customFormat="1">
      <c r="B7" s="924" t="str">
        <f>names!A2321</f>
        <v>Supply</v>
      </c>
      <c r="C7" s="379">
        <v>6685</v>
      </c>
      <c r="D7" s="379">
        <v>6685</v>
      </c>
      <c r="E7" s="379">
        <v>2836</v>
      </c>
      <c r="F7" s="379">
        <v>2836</v>
      </c>
      <c r="G7" s="379">
        <v>3029</v>
      </c>
      <c r="H7" s="379">
        <v>3029</v>
      </c>
      <c r="I7" s="379">
        <v>5263</v>
      </c>
      <c r="J7" s="379">
        <v>5263</v>
      </c>
      <c r="K7" s="379">
        <v>17813</v>
      </c>
      <c r="L7" s="379">
        <v>17813</v>
      </c>
      <c r="M7" s="379">
        <v>428</v>
      </c>
      <c r="N7" s="379">
        <v>428</v>
      </c>
      <c r="O7" s="379">
        <v>364</v>
      </c>
      <c r="P7" s="379">
        <v>367</v>
      </c>
      <c r="Q7" s="379">
        <v>249</v>
      </c>
      <c r="R7" s="379">
        <v>249</v>
      </c>
      <c r="S7" s="379">
        <v>883</v>
      </c>
      <c r="T7" s="379">
        <v>883</v>
      </c>
      <c r="U7" s="379">
        <v>1924</v>
      </c>
      <c r="V7" s="379">
        <v>1927</v>
      </c>
      <c r="W7" s="371"/>
      <c r="X7" s="371"/>
      <c r="Y7" s="371"/>
      <c r="Z7" s="371"/>
      <c r="AA7" s="371"/>
      <c r="AB7" s="371"/>
      <c r="AC7" s="371"/>
    </row>
    <row r="8" spans="2:29">
      <c r="B8" s="802" t="str">
        <f>names!A2322</f>
        <v>Downstream</v>
      </c>
      <c r="C8" s="803">
        <v>1686</v>
      </c>
      <c r="D8" s="803">
        <v>2354</v>
      </c>
      <c r="E8" s="803">
        <v>2296</v>
      </c>
      <c r="F8" s="803">
        <v>2761</v>
      </c>
      <c r="G8" s="803">
        <v>-2388</v>
      </c>
      <c r="H8" s="803">
        <v>884</v>
      </c>
      <c r="I8" s="803">
        <v>-7128</v>
      </c>
      <c r="J8" s="803">
        <v>1033</v>
      </c>
      <c r="K8" s="803">
        <v>-5534</v>
      </c>
      <c r="L8" s="803">
        <v>7032</v>
      </c>
      <c r="M8" s="803">
        <v>-34</v>
      </c>
      <c r="N8" s="803">
        <v>1221</v>
      </c>
      <c r="O8" s="803">
        <v>1204</v>
      </c>
      <c r="P8" s="803">
        <v>2199</v>
      </c>
      <c r="Q8" s="803">
        <v>757</v>
      </c>
      <c r="R8" s="803">
        <v>2428</v>
      </c>
      <c r="S8" s="803">
        <v>1478</v>
      </c>
      <c r="T8" s="803">
        <v>3663</v>
      </c>
      <c r="U8" s="803">
        <v>3405</v>
      </c>
      <c r="V8" s="803">
        <v>9511</v>
      </c>
    </row>
    <row r="9" spans="2:29" s="375" customFormat="1">
      <c r="B9" s="924" t="str">
        <f>names!A2323</f>
        <v>Rafineria</v>
      </c>
      <c r="C9" s="379">
        <v>2311</v>
      </c>
      <c r="D9" s="379">
        <v>2313</v>
      </c>
      <c r="E9" s="379">
        <v>2920</v>
      </c>
      <c r="F9" s="379">
        <v>2924</v>
      </c>
      <c r="G9" s="379">
        <v>-1341</v>
      </c>
      <c r="H9" s="379">
        <v>1008</v>
      </c>
      <c r="I9" s="379">
        <v>2409</v>
      </c>
      <c r="J9" s="379">
        <v>1703</v>
      </c>
      <c r="K9" s="379">
        <v>6299</v>
      </c>
      <c r="L9" s="379">
        <v>7948</v>
      </c>
      <c r="M9" s="379">
        <v>1328</v>
      </c>
      <c r="N9" s="379">
        <v>1589</v>
      </c>
      <c r="O9" s="379">
        <v>2322</v>
      </c>
      <c r="P9" s="379">
        <v>2456</v>
      </c>
      <c r="Q9" s="379">
        <v>1974</v>
      </c>
      <c r="R9" s="379">
        <v>2521</v>
      </c>
      <c r="S9" s="379">
        <v>3728</v>
      </c>
      <c r="T9" s="379">
        <v>3696</v>
      </c>
      <c r="U9" s="379">
        <v>9352</v>
      </c>
      <c r="V9" s="379">
        <v>10262</v>
      </c>
      <c r="W9" s="371"/>
      <c r="X9" s="371"/>
      <c r="Y9" s="371"/>
      <c r="Z9" s="371"/>
      <c r="AA9" s="371"/>
      <c r="AB9" s="371"/>
    </row>
    <row r="10" spans="2:29" s="375" customFormat="1">
      <c r="B10" s="924" t="str">
        <f>names!A2324</f>
        <v>Petrochemia</v>
      </c>
      <c r="C10" s="379">
        <v>-625</v>
      </c>
      <c r="D10" s="379">
        <v>41</v>
      </c>
      <c r="E10" s="379">
        <v>-624</v>
      </c>
      <c r="F10" s="379">
        <v>-163</v>
      </c>
      <c r="G10" s="379">
        <v>-1047</v>
      </c>
      <c r="H10" s="379">
        <v>-124</v>
      </c>
      <c r="I10" s="379">
        <v>-9537</v>
      </c>
      <c r="J10" s="379">
        <v>-670</v>
      </c>
      <c r="K10" s="379">
        <v>-11833</v>
      </c>
      <c r="L10" s="379">
        <v>-916</v>
      </c>
      <c r="M10" s="379">
        <v>-1362</v>
      </c>
      <c r="N10" s="379">
        <v>-368</v>
      </c>
      <c r="O10" s="379">
        <v>-1118</v>
      </c>
      <c r="P10" s="379">
        <v>-257</v>
      </c>
      <c r="Q10" s="379">
        <v>-1217</v>
      </c>
      <c r="R10" s="379">
        <v>-93</v>
      </c>
      <c r="S10" s="379">
        <v>-2250</v>
      </c>
      <c r="T10" s="379">
        <v>-33</v>
      </c>
      <c r="U10" s="379">
        <v>-5947</v>
      </c>
      <c r="V10" s="379">
        <v>-751</v>
      </c>
      <c r="W10" s="371"/>
      <c r="X10" s="371"/>
      <c r="Y10" s="371"/>
      <c r="Z10" s="371"/>
      <c r="AA10" s="371"/>
      <c r="AB10" s="371"/>
    </row>
    <row r="11" spans="2:29">
      <c r="B11" s="802" t="str">
        <f>names!A2325</f>
        <v>Energy</v>
      </c>
      <c r="C11" s="803">
        <v>3688</v>
      </c>
      <c r="D11" s="803">
        <v>3695</v>
      </c>
      <c r="E11" s="803">
        <v>1861</v>
      </c>
      <c r="F11" s="803">
        <v>1886</v>
      </c>
      <c r="G11" s="803">
        <v>1662</v>
      </c>
      <c r="H11" s="803">
        <v>1697</v>
      </c>
      <c r="I11" s="803">
        <v>3142</v>
      </c>
      <c r="J11" s="803">
        <v>3618</v>
      </c>
      <c r="K11" s="803">
        <v>10353</v>
      </c>
      <c r="L11" s="803">
        <v>10896</v>
      </c>
      <c r="M11" s="803">
        <v>4291</v>
      </c>
      <c r="N11" s="803">
        <v>4309</v>
      </c>
      <c r="O11" s="803">
        <v>2178</v>
      </c>
      <c r="P11" s="803">
        <v>2255</v>
      </c>
      <c r="Q11" s="803">
        <v>2206</v>
      </c>
      <c r="R11" s="803">
        <v>2240</v>
      </c>
      <c r="S11" s="803">
        <v>3586</v>
      </c>
      <c r="T11" s="803">
        <v>3675</v>
      </c>
      <c r="U11" s="803">
        <v>12261</v>
      </c>
      <c r="V11" s="803">
        <v>12479</v>
      </c>
    </row>
    <row r="12" spans="2:29" s="375" customFormat="1" ht="11.25" customHeight="1">
      <c r="B12" s="924" t="str">
        <f>names!A2326</f>
        <v>Wytwarzanie</v>
      </c>
      <c r="C12" s="379">
        <v>1330</v>
      </c>
      <c r="D12" s="379">
        <v>1333</v>
      </c>
      <c r="E12" s="379">
        <v>660</v>
      </c>
      <c r="F12" s="379">
        <v>662</v>
      </c>
      <c r="G12" s="379">
        <v>485</v>
      </c>
      <c r="H12" s="379">
        <v>518</v>
      </c>
      <c r="I12" s="379">
        <v>1429</v>
      </c>
      <c r="J12" s="379">
        <v>1510</v>
      </c>
      <c r="K12" s="379">
        <v>3904</v>
      </c>
      <c r="L12" s="379">
        <v>4023</v>
      </c>
      <c r="M12" s="379">
        <v>1484</v>
      </c>
      <c r="N12" s="379">
        <v>1485</v>
      </c>
      <c r="O12" s="379">
        <v>606</v>
      </c>
      <c r="P12" s="379">
        <v>663</v>
      </c>
      <c r="Q12" s="379">
        <v>692</v>
      </c>
      <c r="R12" s="379">
        <v>711</v>
      </c>
      <c r="S12" s="379">
        <v>1349</v>
      </c>
      <c r="T12" s="379">
        <v>1388</v>
      </c>
      <c r="U12" s="379">
        <v>4131</v>
      </c>
      <c r="V12" s="379">
        <v>4247</v>
      </c>
      <c r="W12" s="371"/>
      <c r="X12" s="371"/>
      <c r="Y12" s="371"/>
      <c r="Z12" s="371"/>
      <c r="AA12" s="371"/>
      <c r="AB12" s="371"/>
    </row>
    <row r="13" spans="2:29" s="375" customFormat="1">
      <c r="B13" s="924" t="str">
        <f>names!A2327</f>
        <v>Sieci Dystrybucyjne</v>
      </c>
      <c r="C13" s="379">
        <v>2088</v>
      </c>
      <c r="D13" s="379">
        <v>2092</v>
      </c>
      <c r="E13" s="379">
        <v>1040</v>
      </c>
      <c r="F13" s="379">
        <v>1063</v>
      </c>
      <c r="G13" s="379">
        <v>1016</v>
      </c>
      <c r="H13" s="379">
        <v>1018</v>
      </c>
      <c r="I13" s="379">
        <v>1806</v>
      </c>
      <c r="J13" s="379">
        <v>1899</v>
      </c>
      <c r="K13" s="379">
        <v>5950</v>
      </c>
      <c r="L13" s="379">
        <v>6072</v>
      </c>
      <c r="M13" s="379">
        <v>2616</v>
      </c>
      <c r="N13" s="379">
        <v>2633</v>
      </c>
      <c r="O13" s="379">
        <v>1391</v>
      </c>
      <c r="P13" s="379">
        <v>1411</v>
      </c>
      <c r="Q13" s="379">
        <v>1321</v>
      </c>
      <c r="R13" s="379">
        <v>1336</v>
      </c>
      <c r="S13" s="379">
        <v>2043</v>
      </c>
      <c r="T13" s="379">
        <v>2092</v>
      </c>
      <c r="U13" s="379">
        <v>7371</v>
      </c>
      <c r="V13" s="379">
        <v>7472</v>
      </c>
      <c r="W13" s="371"/>
      <c r="X13" s="371"/>
      <c r="Y13" s="371"/>
      <c r="Z13" s="371"/>
      <c r="AA13" s="371"/>
      <c r="AB13" s="371"/>
    </row>
    <row r="14" spans="2:29" s="375" customFormat="1">
      <c r="B14" s="924" t="str">
        <f>names!A2328</f>
        <v>Nowa Energetyka</v>
      </c>
      <c r="C14" s="379">
        <v>270</v>
      </c>
      <c r="D14" s="379">
        <v>270</v>
      </c>
      <c r="E14" s="379">
        <v>161</v>
      </c>
      <c r="F14" s="379">
        <v>161</v>
      </c>
      <c r="G14" s="379">
        <v>161</v>
      </c>
      <c r="H14" s="379">
        <v>161</v>
      </c>
      <c r="I14" s="379">
        <v>-93</v>
      </c>
      <c r="J14" s="379">
        <v>209</v>
      </c>
      <c r="K14" s="379">
        <v>499</v>
      </c>
      <c r="L14" s="379">
        <v>801</v>
      </c>
      <c r="M14" s="379">
        <v>191</v>
      </c>
      <c r="N14" s="379">
        <v>191</v>
      </c>
      <c r="O14" s="379">
        <v>181</v>
      </c>
      <c r="P14" s="379">
        <v>181</v>
      </c>
      <c r="Q14" s="379">
        <v>193</v>
      </c>
      <c r="R14" s="379">
        <v>193</v>
      </c>
      <c r="S14" s="379">
        <v>194</v>
      </c>
      <c r="T14" s="379">
        <v>195</v>
      </c>
      <c r="U14" s="379">
        <v>759</v>
      </c>
      <c r="V14" s="379">
        <v>760</v>
      </c>
      <c r="W14" s="371"/>
      <c r="X14" s="371"/>
      <c r="Y14" s="371"/>
      <c r="Z14" s="371"/>
      <c r="AA14" s="371"/>
      <c r="AB14" s="371"/>
    </row>
    <row r="15" spans="2:29">
      <c r="B15" s="802" t="str">
        <f>names!A2329</f>
        <v>Consumers &amp; Products</v>
      </c>
      <c r="C15" s="803">
        <v>270</v>
      </c>
      <c r="D15" s="803">
        <v>270</v>
      </c>
      <c r="E15" s="803">
        <v>1637</v>
      </c>
      <c r="F15" s="803">
        <v>1636</v>
      </c>
      <c r="G15" s="803">
        <v>1245</v>
      </c>
      <c r="H15" s="803">
        <v>1247</v>
      </c>
      <c r="I15" s="803">
        <v>-362</v>
      </c>
      <c r="J15" s="803">
        <v>-160</v>
      </c>
      <c r="K15" s="803">
        <v>2790</v>
      </c>
      <c r="L15" s="803">
        <v>2993</v>
      </c>
      <c r="M15" s="803">
        <v>1239</v>
      </c>
      <c r="N15" s="803">
        <v>1233</v>
      </c>
      <c r="O15" s="803">
        <v>1960</v>
      </c>
      <c r="P15" s="803">
        <v>1999</v>
      </c>
      <c r="Q15" s="803">
        <v>1578</v>
      </c>
      <c r="R15" s="803">
        <v>1578</v>
      </c>
      <c r="S15" s="803">
        <v>717</v>
      </c>
      <c r="T15" s="803">
        <v>1206</v>
      </c>
      <c r="U15" s="803">
        <v>5494</v>
      </c>
      <c r="V15" s="803">
        <v>6016</v>
      </c>
    </row>
    <row r="16" spans="2:29" s="375" customFormat="1">
      <c r="B16" s="924" t="str">
        <f>names!A2330</f>
        <v>Detal paliwowy</v>
      </c>
      <c r="C16" s="379">
        <v>531</v>
      </c>
      <c r="D16" s="379">
        <v>531</v>
      </c>
      <c r="E16" s="379">
        <v>916</v>
      </c>
      <c r="F16" s="379">
        <v>916</v>
      </c>
      <c r="G16" s="379">
        <v>1102</v>
      </c>
      <c r="H16" s="379">
        <v>1104</v>
      </c>
      <c r="I16" s="379">
        <v>617</v>
      </c>
      <c r="J16" s="379">
        <v>712</v>
      </c>
      <c r="K16" s="379">
        <v>3166</v>
      </c>
      <c r="L16" s="379">
        <v>3263</v>
      </c>
      <c r="M16" s="379">
        <v>666</v>
      </c>
      <c r="N16" s="379">
        <v>666</v>
      </c>
      <c r="O16" s="379">
        <v>1018</v>
      </c>
      <c r="P16" s="379">
        <v>1051</v>
      </c>
      <c r="Q16" s="379">
        <v>1095</v>
      </c>
      <c r="R16" s="379">
        <v>1095</v>
      </c>
      <c r="S16" s="379">
        <v>487</v>
      </c>
      <c r="T16" s="379">
        <v>966</v>
      </c>
      <c r="U16" s="379">
        <v>3266</v>
      </c>
      <c r="V16" s="379">
        <v>3778</v>
      </c>
      <c r="W16" s="371"/>
      <c r="X16" s="371"/>
      <c r="Y16" s="371"/>
      <c r="Z16" s="371"/>
      <c r="AA16" s="371"/>
      <c r="AB16" s="371"/>
    </row>
    <row r="17" spans="2:28" s="375" customFormat="1">
      <c r="B17" s="924" t="str">
        <f>names!A2331</f>
        <v>Detal niepaliwowy</v>
      </c>
      <c r="C17" s="379">
        <v>-261</v>
      </c>
      <c r="D17" s="379">
        <v>-261</v>
      </c>
      <c r="E17" s="379">
        <v>721</v>
      </c>
      <c r="F17" s="379">
        <v>720</v>
      </c>
      <c r="G17" s="379">
        <v>143</v>
      </c>
      <c r="H17" s="379">
        <v>143</v>
      </c>
      <c r="I17" s="379">
        <v>-979</v>
      </c>
      <c r="J17" s="379">
        <v>-872</v>
      </c>
      <c r="K17" s="379">
        <v>-376</v>
      </c>
      <c r="L17" s="379">
        <v>-270</v>
      </c>
      <c r="M17" s="379">
        <v>573</v>
      </c>
      <c r="N17" s="379">
        <v>567</v>
      </c>
      <c r="O17" s="379">
        <v>942</v>
      </c>
      <c r="P17" s="379">
        <v>948</v>
      </c>
      <c r="Q17" s="379">
        <v>483</v>
      </c>
      <c r="R17" s="379">
        <v>483</v>
      </c>
      <c r="S17" s="379">
        <v>230</v>
      </c>
      <c r="T17" s="379">
        <v>240</v>
      </c>
      <c r="U17" s="379">
        <v>2228</v>
      </c>
      <c r="V17" s="379">
        <v>2238</v>
      </c>
      <c r="W17" s="371"/>
      <c r="X17" s="371"/>
      <c r="Y17" s="371"/>
      <c r="Z17" s="371"/>
      <c r="AA17" s="371"/>
      <c r="AB17" s="371"/>
    </row>
    <row r="18" spans="2:28" ht="12" thickBot="1">
      <c r="B18" s="802" t="str">
        <f>names!A2332</f>
        <v>Corporate Functions1</v>
      </c>
      <c r="C18" s="803">
        <v>-704</v>
      </c>
      <c r="D18" s="803">
        <v>-704</v>
      </c>
      <c r="E18" s="803">
        <v>-406</v>
      </c>
      <c r="F18" s="803">
        <v>-405</v>
      </c>
      <c r="G18" s="803">
        <v>-437</v>
      </c>
      <c r="H18" s="803">
        <v>-404</v>
      </c>
      <c r="I18" s="803">
        <v>-493</v>
      </c>
      <c r="J18" s="803">
        <v>-481</v>
      </c>
      <c r="K18" s="803">
        <v>-2040</v>
      </c>
      <c r="L18" s="803">
        <v>-1994</v>
      </c>
      <c r="M18" s="803">
        <v>-514</v>
      </c>
      <c r="N18" s="803">
        <v>-514</v>
      </c>
      <c r="O18" s="803">
        <v>-595</v>
      </c>
      <c r="P18" s="803">
        <v>-593</v>
      </c>
      <c r="Q18" s="803">
        <v>-662</v>
      </c>
      <c r="R18" s="803">
        <v>-660</v>
      </c>
      <c r="S18" s="803">
        <v>-613</v>
      </c>
      <c r="T18" s="803">
        <v>-605</v>
      </c>
      <c r="U18" s="803">
        <v>-2384</v>
      </c>
      <c r="V18" s="803">
        <v>-2372</v>
      </c>
    </row>
    <row r="19" spans="2:28" ht="12" thickBot="1">
      <c r="B19" s="413" t="str">
        <f>names!A2333</f>
        <v>EBITDA LIFO</v>
      </c>
      <c r="C19" s="412">
        <v>7560</v>
      </c>
      <c r="D19" s="412">
        <v>8278</v>
      </c>
      <c r="E19" s="412">
        <v>4441</v>
      </c>
      <c r="F19" s="412">
        <v>4962</v>
      </c>
      <c r="G19" s="412">
        <v>6357</v>
      </c>
      <c r="H19" s="412">
        <v>9881</v>
      </c>
      <c r="I19" s="412">
        <v>5547</v>
      </c>
      <c r="J19" s="412">
        <v>14299</v>
      </c>
      <c r="K19" s="412">
        <v>23905</v>
      </c>
      <c r="L19" s="412">
        <v>37420</v>
      </c>
      <c r="M19" s="412">
        <v>10201</v>
      </c>
      <c r="N19" s="412">
        <v>11605</v>
      </c>
      <c r="O19" s="412">
        <v>7715</v>
      </c>
      <c r="P19" s="412">
        <v>9204</v>
      </c>
      <c r="Q19" s="412">
        <v>7169</v>
      </c>
      <c r="R19" s="412">
        <v>8887</v>
      </c>
      <c r="S19" s="412">
        <v>8813</v>
      </c>
      <c r="T19" s="412">
        <v>12154</v>
      </c>
      <c r="U19" s="412">
        <v>33898</v>
      </c>
      <c r="V19" s="412">
        <v>41850</v>
      </c>
    </row>
    <row r="20" spans="2:28" ht="12" thickBot="1">
      <c r="B20" s="413" t="str">
        <f>names!A2334</f>
        <v>Efekt LIFO</v>
      </c>
      <c r="C20" s="412">
        <v>64</v>
      </c>
      <c r="D20" s="412">
        <v>64</v>
      </c>
      <c r="E20" s="412">
        <v>33</v>
      </c>
      <c r="F20" s="412">
        <v>33</v>
      </c>
      <c r="G20" s="412">
        <v>-324</v>
      </c>
      <c r="H20" s="412">
        <v>-324</v>
      </c>
      <c r="I20" s="412">
        <v>-44</v>
      </c>
      <c r="J20" s="412">
        <v>-44</v>
      </c>
      <c r="K20" s="412">
        <v>-271</v>
      </c>
      <c r="L20" s="412">
        <v>-271</v>
      </c>
      <c r="M20" s="412">
        <v>-34</v>
      </c>
      <c r="N20" s="412">
        <v>-34</v>
      </c>
      <c r="O20" s="412">
        <v>-874</v>
      </c>
      <c r="P20" s="412">
        <v>-874</v>
      </c>
      <c r="Q20" s="412">
        <v>127</v>
      </c>
      <c r="R20" s="412">
        <v>127</v>
      </c>
      <c r="S20" s="412">
        <v>-277</v>
      </c>
      <c r="T20" s="412">
        <v>-277</v>
      </c>
      <c r="U20" s="412">
        <v>-1058</v>
      </c>
      <c r="V20" s="412">
        <v>-1058</v>
      </c>
    </row>
    <row r="21" spans="2:28">
      <c r="B21" s="419" t="str">
        <f>names!A2335</f>
        <v>Upstream &amp; Supply</v>
      </c>
      <c r="C21" s="418">
        <v>-24</v>
      </c>
      <c r="D21" s="418">
        <v>-24</v>
      </c>
      <c r="E21" s="418">
        <v>3</v>
      </c>
      <c r="F21" s="418">
        <v>3</v>
      </c>
      <c r="G21" s="418">
        <v>-169</v>
      </c>
      <c r="H21" s="418">
        <v>-169</v>
      </c>
      <c r="I21" s="418">
        <v>-45</v>
      </c>
      <c r="J21" s="418">
        <v>-45</v>
      </c>
      <c r="K21" s="418">
        <v>-235</v>
      </c>
      <c r="L21" s="418">
        <v>-235</v>
      </c>
      <c r="M21" s="418">
        <v>70</v>
      </c>
      <c r="N21" s="418">
        <v>70</v>
      </c>
      <c r="O21" s="418">
        <v>-128</v>
      </c>
      <c r="P21" s="418">
        <v>-128</v>
      </c>
      <c r="Q21" s="418">
        <v>-33</v>
      </c>
      <c r="R21" s="418">
        <v>-33</v>
      </c>
      <c r="S21" s="418">
        <v>-177</v>
      </c>
      <c r="T21" s="418">
        <v>-177</v>
      </c>
      <c r="U21" s="418">
        <v>-268</v>
      </c>
      <c r="V21" s="418">
        <v>-268</v>
      </c>
      <c r="Z21" s="423"/>
    </row>
    <row r="22" spans="2:28" ht="12" thickBot="1">
      <c r="B22" s="419" t="str">
        <f>names!A2336</f>
        <v>Downstream</v>
      </c>
      <c r="C22" s="418">
        <v>88</v>
      </c>
      <c r="D22" s="418">
        <v>88</v>
      </c>
      <c r="E22" s="418">
        <v>30</v>
      </c>
      <c r="F22" s="418">
        <v>30</v>
      </c>
      <c r="G22" s="418">
        <v>-155</v>
      </c>
      <c r="H22" s="418">
        <v>-155</v>
      </c>
      <c r="I22" s="418">
        <v>1</v>
      </c>
      <c r="J22" s="418">
        <v>1</v>
      </c>
      <c r="K22" s="418">
        <v>-36</v>
      </c>
      <c r="L22" s="418">
        <v>-36</v>
      </c>
      <c r="M22" s="418">
        <v>-104</v>
      </c>
      <c r="N22" s="418">
        <v>-104</v>
      </c>
      <c r="O22" s="418">
        <v>-746</v>
      </c>
      <c r="P22" s="418">
        <v>-746</v>
      </c>
      <c r="Q22" s="418">
        <v>160</v>
      </c>
      <c r="R22" s="418">
        <v>160</v>
      </c>
      <c r="S22" s="418">
        <v>-100</v>
      </c>
      <c r="T22" s="418">
        <v>-100</v>
      </c>
      <c r="U22" s="418">
        <v>-790</v>
      </c>
      <c r="V22" s="418">
        <v>-790</v>
      </c>
    </row>
    <row r="23" spans="2:28" ht="12" thickBot="1">
      <c r="B23" s="413" t="str">
        <f>names!A2337</f>
        <v xml:space="preserve">EBITDA </v>
      </c>
      <c r="C23" s="412">
        <v>7624</v>
      </c>
      <c r="D23" s="412">
        <v>8342</v>
      </c>
      <c r="E23" s="412">
        <v>4474</v>
      </c>
      <c r="F23" s="412">
        <v>4995</v>
      </c>
      <c r="G23" s="412">
        <v>6033</v>
      </c>
      <c r="H23" s="412">
        <v>9557</v>
      </c>
      <c r="I23" s="412">
        <v>5503</v>
      </c>
      <c r="J23" s="412">
        <v>14255</v>
      </c>
      <c r="K23" s="412">
        <v>23634</v>
      </c>
      <c r="L23" s="412">
        <v>37149</v>
      </c>
      <c r="M23" s="412">
        <v>10167</v>
      </c>
      <c r="N23" s="412">
        <v>11571</v>
      </c>
      <c r="O23" s="412">
        <v>6841</v>
      </c>
      <c r="P23" s="412">
        <v>8330</v>
      </c>
      <c r="Q23" s="412">
        <v>7296</v>
      </c>
      <c r="R23" s="412">
        <v>9014</v>
      </c>
      <c r="S23" s="412">
        <v>8536</v>
      </c>
      <c r="T23" s="412">
        <v>11877</v>
      </c>
      <c r="U23" s="412">
        <v>32840</v>
      </c>
      <c r="V23" s="412">
        <v>40792</v>
      </c>
    </row>
    <row r="24" spans="2:28">
      <c r="B24" s="375"/>
      <c r="C24" s="418"/>
      <c r="D24" s="418"/>
      <c r="E24" s="418"/>
      <c r="F24" s="418"/>
      <c r="G24" s="418"/>
      <c r="H24" s="418"/>
      <c r="I24" s="418"/>
      <c r="J24" s="418"/>
      <c r="K24" s="418"/>
      <c r="L24" s="418"/>
      <c r="M24" s="418"/>
      <c r="N24" s="418"/>
      <c r="O24" s="418"/>
      <c r="P24" s="418"/>
      <c r="Q24" s="418"/>
      <c r="R24" s="418"/>
      <c r="S24" s="418"/>
      <c r="T24" s="418"/>
      <c r="U24" s="418"/>
      <c r="V24" s="418"/>
    </row>
    <row r="25" spans="2:28" ht="15.75">
      <c r="B25" s="396" t="str">
        <f>names!A350</f>
        <v>Amortyzacja</v>
      </c>
      <c r="C25" s="378"/>
      <c r="D25" s="378"/>
      <c r="E25" s="378"/>
      <c r="F25" s="378"/>
      <c r="G25" s="378"/>
      <c r="H25" s="418"/>
      <c r="I25" s="378"/>
      <c r="J25" s="378"/>
      <c r="K25" s="378"/>
      <c r="L25" s="378"/>
      <c r="M25" s="378"/>
      <c r="N25" s="378"/>
      <c r="O25" s="378"/>
      <c r="P25" s="378"/>
      <c r="Q25" s="378"/>
      <c r="R25" s="378"/>
      <c r="S25" s="378"/>
      <c r="T25" s="378"/>
      <c r="U25" s="378"/>
      <c r="V25" s="378"/>
    </row>
    <row r="26" spans="2:28" ht="9.75" customHeight="1">
      <c r="B26" s="375"/>
      <c r="C26" s="378"/>
      <c r="D26" s="378"/>
      <c r="E26" s="378"/>
      <c r="F26" s="378"/>
      <c r="G26" s="378"/>
      <c r="H26" s="378"/>
      <c r="I26" s="378"/>
      <c r="J26" s="378"/>
      <c r="K26" s="378"/>
      <c r="L26" s="378"/>
      <c r="M26" s="378"/>
      <c r="N26" s="378"/>
      <c r="O26" s="378"/>
      <c r="P26" s="378"/>
      <c r="Q26" s="378"/>
      <c r="R26" s="378"/>
      <c r="S26" s="378"/>
      <c r="T26" s="378"/>
      <c r="U26" s="378"/>
      <c r="V26" s="378"/>
    </row>
    <row r="27" spans="2:28" ht="55.5" customHeight="1">
      <c r="B27" s="372" t="str">
        <f>names!A352</f>
        <v>Wyszczególnienie, 
mln PLN</v>
      </c>
      <c r="C27" s="372" t="str">
        <f t="shared" ref="C27:V27" si="0">C4</f>
        <v>I kw. 
2024*</v>
      </c>
      <c r="D27" s="372" t="str">
        <f t="shared" si="0"/>
        <v>I kw.
2024
przed odpisem**</v>
      </c>
      <c r="E27" s="372" t="str">
        <f t="shared" si="0"/>
        <v>II kw. 
2024*</v>
      </c>
      <c r="F27" s="372" t="str">
        <f t="shared" si="0"/>
        <v>II kw.
2024
przed odpisem**</v>
      </c>
      <c r="G27" s="372" t="str">
        <f t="shared" si="0"/>
        <v>III kw. 
2024*</v>
      </c>
      <c r="H27" s="372" t="str">
        <f t="shared" si="0"/>
        <v>III kw.
2024
przed odpisem**</v>
      </c>
      <c r="I27" s="372" t="str">
        <f t="shared" si="0"/>
        <v>IV kw. 
2024*</v>
      </c>
      <c r="J27" s="372" t="str">
        <f t="shared" si="0"/>
        <v>IV kw.
2024
przed odpisem**</v>
      </c>
      <c r="K27" s="372" t="str">
        <f t="shared" si="0"/>
        <v>12 m-cy 2024*</v>
      </c>
      <c r="L27" s="372" t="str">
        <f t="shared" si="0"/>
        <v>12 m-cy
2024
przed odpisem**</v>
      </c>
      <c r="M27" s="372" t="str">
        <f t="shared" si="0"/>
        <v>I kw. 
2025</v>
      </c>
      <c r="N27" s="372" t="str">
        <f t="shared" si="0"/>
        <v>I kw.
2025
przed odpisem**</v>
      </c>
      <c r="O27" s="372" t="str">
        <f t="shared" si="0"/>
        <v>II kw. 
2025</v>
      </c>
      <c r="P27" s="372" t="str">
        <f t="shared" si="0"/>
        <v>II kw.
2025
przed odpisem**</v>
      </c>
      <c r="Q27" s="372" t="str">
        <f t="shared" si="0"/>
        <v>III kw. 
2025</v>
      </c>
      <c r="R27" s="372" t="str">
        <f t="shared" si="0"/>
        <v>III kw.
2025
przed odpisem**</v>
      </c>
      <c r="S27" s="372" t="str">
        <f t="shared" si="0"/>
        <v>IV kw. 
2025</v>
      </c>
      <c r="T27" s="372" t="str">
        <f t="shared" si="0"/>
        <v>IV kw.
2025
przed odpisem**</v>
      </c>
      <c r="U27" s="372" t="str">
        <f t="shared" si="0"/>
        <v>12 m-cy 2025</v>
      </c>
      <c r="V27" s="372" t="str">
        <f t="shared" si="0"/>
        <v>12 m-cy
2025
przed odpisem**</v>
      </c>
    </row>
    <row r="28" spans="2:28">
      <c r="B28" s="802" t="str">
        <f t="shared" ref="B28:B41" si="1">B5</f>
        <v>Upstream &amp; Supply</v>
      </c>
      <c r="C28" s="803">
        <f t="shared" ref="C28:C41" si="2">C5-C48</f>
        <v>1431</v>
      </c>
      <c r="D28" s="803">
        <f t="shared" ref="D28:V28" si="3">D5-D48</f>
        <v>1431</v>
      </c>
      <c r="E28" s="803">
        <f t="shared" si="3"/>
        <v>1494</v>
      </c>
      <c r="F28" s="803">
        <f t="shared" si="3"/>
        <v>1494</v>
      </c>
      <c r="G28" s="803">
        <f t="shared" si="3"/>
        <v>1315</v>
      </c>
      <c r="H28" s="803">
        <f t="shared" si="3"/>
        <v>1315</v>
      </c>
      <c r="I28" s="803">
        <f t="shared" si="3"/>
        <v>1515</v>
      </c>
      <c r="J28" s="803">
        <f t="shared" si="3"/>
        <v>1515</v>
      </c>
      <c r="K28" s="803">
        <f t="shared" si="3"/>
        <v>5755</v>
      </c>
      <c r="L28" s="803">
        <f t="shared" si="3"/>
        <v>5755</v>
      </c>
      <c r="M28" s="936">
        <f t="shared" si="3"/>
        <v>1286</v>
      </c>
      <c r="N28" s="936">
        <f t="shared" si="3"/>
        <v>1286</v>
      </c>
      <c r="O28" s="803">
        <f t="shared" si="3"/>
        <v>1300</v>
      </c>
      <c r="P28" s="803">
        <f t="shared" si="3"/>
        <v>1300</v>
      </c>
      <c r="Q28" s="803">
        <f t="shared" si="3"/>
        <v>1290</v>
      </c>
      <c r="R28" s="803">
        <f t="shared" si="3"/>
        <v>1290</v>
      </c>
      <c r="S28" s="803">
        <f t="shared" si="3"/>
        <v>1511</v>
      </c>
      <c r="T28" s="803">
        <f t="shared" si="3"/>
        <v>1511</v>
      </c>
      <c r="U28" s="803">
        <f t="shared" si="3"/>
        <v>5387</v>
      </c>
      <c r="V28" s="803">
        <f t="shared" si="3"/>
        <v>5387</v>
      </c>
    </row>
    <row r="29" spans="2:28">
      <c r="B29" s="924" t="str">
        <f t="shared" si="1"/>
        <v>Upstream</v>
      </c>
      <c r="C29" s="379">
        <f t="shared" si="2"/>
        <v>1330</v>
      </c>
      <c r="D29" s="379">
        <f t="shared" ref="D29:V29" si="4">D6-D49</f>
        <v>1330</v>
      </c>
      <c r="E29" s="379">
        <f t="shared" si="4"/>
        <v>1392</v>
      </c>
      <c r="F29" s="379">
        <f t="shared" si="4"/>
        <v>1392</v>
      </c>
      <c r="G29" s="379">
        <f t="shared" si="4"/>
        <v>1212</v>
      </c>
      <c r="H29" s="379">
        <f t="shared" si="4"/>
        <v>1212</v>
      </c>
      <c r="I29" s="379">
        <f t="shared" si="4"/>
        <v>1412</v>
      </c>
      <c r="J29" s="379">
        <f t="shared" si="4"/>
        <v>1412</v>
      </c>
      <c r="K29" s="379">
        <f t="shared" si="4"/>
        <v>5346</v>
      </c>
      <c r="L29" s="379">
        <f t="shared" si="4"/>
        <v>5346</v>
      </c>
      <c r="M29" s="414">
        <f t="shared" si="4"/>
        <v>1177</v>
      </c>
      <c r="N29" s="414">
        <f t="shared" si="4"/>
        <v>1177</v>
      </c>
      <c r="O29" s="379">
        <f t="shared" si="4"/>
        <v>1177</v>
      </c>
      <c r="P29" s="379">
        <f t="shared" si="4"/>
        <v>1177</v>
      </c>
      <c r="Q29" s="381">
        <f t="shared" si="4"/>
        <v>1166</v>
      </c>
      <c r="R29" s="381">
        <f t="shared" si="4"/>
        <v>1166</v>
      </c>
      <c r="S29" s="381">
        <f t="shared" si="4"/>
        <v>1398</v>
      </c>
      <c r="T29" s="381">
        <f t="shared" si="4"/>
        <v>1398</v>
      </c>
      <c r="U29" s="381">
        <f t="shared" si="4"/>
        <v>4918</v>
      </c>
      <c r="V29" s="381">
        <f t="shared" si="4"/>
        <v>4918</v>
      </c>
    </row>
    <row r="30" spans="2:28">
      <c r="B30" s="924" t="str">
        <f t="shared" si="1"/>
        <v>Supply</v>
      </c>
      <c r="C30" s="379">
        <f t="shared" si="2"/>
        <v>101</v>
      </c>
      <c r="D30" s="379">
        <f t="shared" ref="D30:V30" si="5">D7-D50</f>
        <v>101</v>
      </c>
      <c r="E30" s="379">
        <f t="shared" si="5"/>
        <v>102</v>
      </c>
      <c r="F30" s="379">
        <f t="shared" si="5"/>
        <v>102</v>
      </c>
      <c r="G30" s="379">
        <f t="shared" si="5"/>
        <v>103</v>
      </c>
      <c r="H30" s="379">
        <f t="shared" si="5"/>
        <v>103</v>
      </c>
      <c r="I30" s="379">
        <f t="shared" si="5"/>
        <v>103</v>
      </c>
      <c r="J30" s="379">
        <f t="shared" si="5"/>
        <v>103</v>
      </c>
      <c r="K30" s="379">
        <f t="shared" si="5"/>
        <v>409</v>
      </c>
      <c r="L30" s="379">
        <f t="shared" si="5"/>
        <v>409</v>
      </c>
      <c r="M30" s="414">
        <f t="shared" si="5"/>
        <v>109</v>
      </c>
      <c r="N30" s="414">
        <f t="shared" si="5"/>
        <v>109</v>
      </c>
      <c r="O30" s="379">
        <f t="shared" si="5"/>
        <v>123</v>
      </c>
      <c r="P30" s="379">
        <f t="shared" si="5"/>
        <v>123</v>
      </c>
      <c r="Q30" s="381">
        <f t="shared" si="5"/>
        <v>124</v>
      </c>
      <c r="R30" s="381">
        <f t="shared" si="5"/>
        <v>124</v>
      </c>
      <c r="S30" s="381">
        <f t="shared" si="5"/>
        <v>113</v>
      </c>
      <c r="T30" s="381">
        <f t="shared" si="5"/>
        <v>113</v>
      </c>
      <c r="U30" s="381">
        <f t="shared" si="5"/>
        <v>469</v>
      </c>
      <c r="V30" s="381">
        <f t="shared" si="5"/>
        <v>469</v>
      </c>
    </row>
    <row r="31" spans="2:28">
      <c r="B31" s="802" t="str">
        <f t="shared" si="1"/>
        <v>Downstream</v>
      </c>
      <c r="C31" s="803">
        <f t="shared" si="2"/>
        <v>607</v>
      </c>
      <c r="D31" s="803">
        <f t="shared" ref="D31:V31" si="6">D8-D51</f>
        <v>607</v>
      </c>
      <c r="E31" s="803">
        <f t="shared" si="6"/>
        <v>632</v>
      </c>
      <c r="F31" s="803">
        <f t="shared" si="6"/>
        <v>632</v>
      </c>
      <c r="G31" s="803">
        <f t="shared" si="6"/>
        <v>669</v>
      </c>
      <c r="H31" s="803">
        <f t="shared" si="6"/>
        <v>669</v>
      </c>
      <c r="I31" s="803">
        <f t="shared" si="6"/>
        <v>725</v>
      </c>
      <c r="J31" s="803">
        <f t="shared" si="6"/>
        <v>725</v>
      </c>
      <c r="K31" s="803">
        <f t="shared" si="6"/>
        <v>2633</v>
      </c>
      <c r="L31" s="803">
        <f t="shared" si="6"/>
        <v>2633</v>
      </c>
      <c r="M31" s="936">
        <f t="shared" si="6"/>
        <v>596</v>
      </c>
      <c r="N31" s="936">
        <f t="shared" si="6"/>
        <v>596</v>
      </c>
      <c r="O31" s="803">
        <f t="shared" si="6"/>
        <v>687</v>
      </c>
      <c r="P31" s="803">
        <f t="shared" si="6"/>
        <v>687</v>
      </c>
      <c r="Q31" s="803">
        <f t="shared" si="6"/>
        <v>691</v>
      </c>
      <c r="R31" s="803">
        <f t="shared" si="6"/>
        <v>691</v>
      </c>
      <c r="S31" s="803">
        <f t="shared" si="6"/>
        <v>840</v>
      </c>
      <c r="T31" s="803">
        <f t="shared" si="6"/>
        <v>840</v>
      </c>
      <c r="U31" s="803">
        <f t="shared" si="6"/>
        <v>2814</v>
      </c>
      <c r="V31" s="803">
        <f t="shared" si="6"/>
        <v>2814</v>
      </c>
    </row>
    <row r="32" spans="2:28">
      <c r="B32" s="924" t="str">
        <f t="shared" si="1"/>
        <v>Rafineria</v>
      </c>
      <c r="C32" s="379">
        <f t="shared" si="2"/>
        <v>415</v>
      </c>
      <c r="D32" s="379">
        <f t="shared" ref="D32:V32" si="7">D9-D52</f>
        <v>415</v>
      </c>
      <c r="E32" s="379">
        <f t="shared" si="7"/>
        <v>440</v>
      </c>
      <c r="F32" s="379">
        <f t="shared" si="7"/>
        <v>440</v>
      </c>
      <c r="G32" s="379">
        <f t="shared" si="7"/>
        <v>458</v>
      </c>
      <c r="H32" s="379">
        <f t="shared" si="7"/>
        <v>458</v>
      </c>
      <c r="I32" s="379">
        <f t="shared" si="7"/>
        <v>505</v>
      </c>
      <c r="J32" s="379">
        <f t="shared" si="7"/>
        <v>505</v>
      </c>
      <c r="K32" s="379">
        <f t="shared" si="7"/>
        <v>1818</v>
      </c>
      <c r="L32" s="379">
        <f t="shared" si="7"/>
        <v>1818</v>
      </c>
      <c r="M32" s="414">
        <f t="shared" si="7"/>
        <v>460</v>
      </c>
      <c r="N32" s="414">
        <f t="shared" si="7"/>
        <v>460</v>
      </c>
      <c r="O32" s="379">
        <f t="shared" si="7"/>
        <v>626</v>
      </c>
      <c r="P32" s="379">
        <f t="shared" si="7"/>
        <v>626</v>
      </c>
      <c r="Q32" s="381">
        <f t="shared" si="7"/>
        <v>598</v>
      </c>
      <c r="R32" s="381">
        <f t="shared" si="7"/>
        <v>598</v>
      </c>
      <c r="S32" s="381">
        <f t="shared" si="7"/>
        <v>725</v>
      </c>
      <c r="T32" s="381">
        <f t="shared" si="7"/>
        <v>725</v>
      </c>
      <c r="U32" s="381">
        <f t="shared" si="7"/>
        <v>2409</v>
      </c>
      <c r="V32" s="381">
        <f t="shared" si="7"/>
        <v>2409</v>
      </c>
    </row>
    <row r="33" spans="2:25">
      <c r="B33" s="924" t="str">
        <f t="shared" si="1"/>
        <v>Petrochemia</v>
      </c>
      <c r="C33" s="379">
        <f t="shared" si="2"/>
        <v>192</v>
      </c>
      <c r="D33" s="379">
        <f t="shared" ref="D33:V33" si="8">D10-D53</f>
        <v>192</v>
      </c>
      <c r="E33" s="379">
        <f t="shared" si="8"/>
        <v>192</v>
      </c>
      <c r="F33" s="379">
        <f t="shared" si="8"/>
        <v>192</v>
      </c>
      <c r="G33" s="379">
        <f t="shared" si="8"/>
        <v>211</v>
      </c>
      <c r="H33" s="379">
        <f t="shared" si="8"/>
        <v>211</v>
      </c>
      <c r="I33" s="379">
        <f t="shared" si="8"/>
        <v>220</v>
      </c>
      <c r="J33" s="379">
        <f t="shared" si="8"/>
        <v>220</v>
      </c>
      <c r="K33" s="379">
        <f t="shared" si="8"/>
        <v>815</v>
      </c>
      <c r="L33" s="379">
        <f t="shared" si="8"/>
        <v>815</v>
      </c>
      <c r="M33" s="414">
        <f t="shared" si="8"/>
        <v>136</v>
      </c>
      <c r="N33" s="414">
        <f t="shared" si="8"/>
        <v>136</v>
      </c>
      <c r="O33" s="379">
        <f t="shared" si="8"/>
        <v>61</v>
      </c>
      <c r="P33" s="379">
        <f t="shared" si="8"/>
        <v>61</v>
      </c>
      <c r="Q33" s="381">
        <f t="shared" si="8"/>
        <v>93</v>
      </c>
      <c r="R33" s="381">
        <f t="shared" si="8"/>
        <v>93</v>
      </c>
      <c r="S33" s="381">
        <f t="shared" si="8"/>
        <v>115</v>
      </c>
      <c r="T33" s="381">
        <f t="shared" si="8"/>
        <v>115</v>
      </c>
      <c r="U33" s="381">
        <f t="shared" si="8"/>
        <v>405</v>
      </c>
      <c r="V33" s="381">
        <f t="shared" si="8"/>
        <v>405</v>
      </c>
    </row>
    <row r="34" spans="2:25">
      <c r="B34" s="802" t="str">
        <f t="shared" si="1"/>
        <v>Energy</v>
      </c>
      <c r="C34" s="803">
        <f t="shared" si="2"/>
        <v>943</v>
      </c>
      <c r="D34" s="803">
        <f t="shared" ref="D34:V34" si="9">D11-D54</f>
        <v>943</v>
      </c>
      <c r="E34" s="803">
        <f t="shared" si="9"/>
        <v>990</v>
      </c>
      <c r="F34" s="803">
        <f t="shared" si="9"/>
        <v>990</v>
      </c>
      <c r="G34" s="803">
        <f t="shared" si="9"/>
        <v>989</v>
      </c>
      <c r="H34" s="803">
        <f t="shared" si="9"/>
        <v>989</v>
      </c>
      <c r="I34" s="803">
        <f t="shared" si="9"/>
        <v>1071</v>
      </c>
      <c r="J34" s="803">
        <f t="shared" si="9"/>
        <v>1071</v>
      </c>
      <c r="K34" s="803">
        <f t="shared" si="9"/>
        <v>3993</v>
      </c>
      <c r="L34" s="803">
        <f t="shared" si="9"/>
        <v>3993</v>
      </c>
      <c r="M34" s="936">
        <f t="shared" si="9"/>
        <v>1063</v>
      </c>
      <c r="N34" s="936">
        <f t="shared" si="9"/>
        <v>1063</v>
      </c>
      <c r="O34" s="803">
        <f t="shared" si="9"/>
        <v>1066</v>
      </c>
      <c r="P34" s="803">
        <f t="shared" si="9"/>
        <v>1066</v>
      </c>
      <c r="Q34" s="803">
        <f t="shared" si="9"/>
        <v>1104</v>
      </c>
      <c r="R34" s="803">
        <f t="shared" si="9"/>
        <v>1104</v>
      </c>
      <c r="S34" s="803">
        <f t="shared" si="9"/>
        <v>1158</v>
      </c>
      <c r="T34" s="803">
        <f t="shared" si="9"/>
        <v>1158</v>
      </c>
      <c r="U34" s="803">
        <f t="shared" si="9"/>
        <v>4391</v>
      </c>
      <c r="V34" s="803">
        <f t="shared" si="9"/>
        <v>4391</v>
      </c>
    </row>
    <row r="35" spans="2:25" s="375" customFormat="1" ht="11.25" customHeight="1">
      <c r="B35" s="924" t="str">
        <f t="shared" si="1"/>
        <v>Wytwarzanie</v>
      </c>
      <c r="C35" s="379">
        <f t="shared" si="2"/>
        <v>283</v>
      </c>
      <c r="D35" s="379">
        <f t="shared" ref="D35:V35" si="10">D12-D55</f>
        <v>283</v>
      </c>
      <c r="E35" s="379">
        <f t="shared" si="10"/>
        <v>291</v>
      </c>
      <c r="F35" s="379">
        <f t="shared" si="10"/>
        <v>291</v>
      </c>
      <c r="G35" s="379">
        <f t="shared" si="10"/>
        <v>282</v>
      </c>
      <c r="H35" s="379">
        <f t="shared" si="10"/>
        <v>282</v>
      </c>
      <c r="I35" s="379">
        <f t="shared" si="10"/>
        <v>310</v>
      </c>
      <c r="J35" s="379">
        <f t="shared" si="10"/>
        <v>310</v>
      </c>
      <c r="K35" s="379">
        <f t="shared" si="10"/>
        <v>1166</v>
      </c>
      <c r="L35" s="379">
        <f t="shared" si="10"/>
        <v>1166</v>
      </c>
      <c r="M35" s="414">
        <f t="shared" si="10"/>
        <v>322</v>
      </c>
      <c r="N35" s="414">
        <f t="shared" si="10"/>
        <v>322</v>
      </c>
      <c r="O35" s="379">
        <f t="shared" si="10"/>
        <v>294</v>
      </c>
      <c r="P35" s="379">
        <f t="shared" si="10"/>
        <v>294</v>
      </c>
      <c r="Q35" s="381">
        <f t="shared" si="10"/>
        <v>322</v>
      </c>
      <c r="R35" s="381">
        <f t="shared" si="10"/>
        <v>322</v>
      </c>
      <c r="S35" s="381">
        <f t="shared" si="10"/>
        <v>348</v>
      </c>
      <c r="T35" s="381">
        <f t="shared" si="10"/>
        <v>348</v>
      </c>
      <c r="U35" s="381">
        <f t="shared" si="10"/>
        <v>1286</v>
      </c>
      <c r="V35" s="381">
        <f t="shared" si="10"/>
        <v>1286</v>
      </c>
      <c r="W35" s="371"/>
    </row>
    <row r="36" spans="2:25" s="375" customFormat="1">
      <c r="B36" s="924" t="str">
        <f t="shared" si="1"/>
        <v>Sieci Dystrybucyjne</v>
      </c>
      <c r="C36" s="379">
        <f t="shared" si="2"/>
        <v>604</v>
      </c>
      <c r="D36" s="379">
        <f t="shared" ref="D36:V36" si="11">D13-D56</f>
        <v>604</v>
      </c>
      <c r="E36" s="379">
        <f t="shared" si="11"/>
        <v>630</v>
      </c>
      <c r="F36" s="379">
        <f t="shared" si="11"/>
        <v>630</v>
      </c>
      <c r="G36" s="379">
        <f t="shared" si="11"/>
        <v>637</v>
      </c>
      <c r="H36" s="379">
        <f t="shared" si="11"/>
        <v>637</v>
      </c>
      <c r="I36" s="379">
        <f t="shared" si="11"/>
        <v>673</v>
      </c>
      <c r="J36" s="379">
        <f t="shared" si="11"/>
        <v>673</v>
      </c>
      <c r="K36" s="379">
        <f t="shared" si="11"/>
        <v>2544</v>
      </c>
      <c r="L36" s="379">
        <f t="shared" si="11"/>
        <v>2544</v>
      </c>
      <c r="M36" s="414">
        <f t="shared" si="11"/>
        <v>658</v>
      </c>
      <c r="N36" s="414">
        <f t="shared" si="11"/>
        <v>658</v>
      </c>
      <c r="O36" s="379">
        <f t="shared" si="11"/>
        <v>685</v>
      </c>
      <c r="P36" s="379">
        <f t="shared" si="11"/>
        <v>685</v>
      </c>
      <c r="Q36" s="381">
        <f t="shared" si="11"/>
        <v>687</v>
      </c>
      <c r="R36" s="381">
        <f t="shared" si="11"/>
        <v>687</v>
      </c>
      <c r="S36" s="381">
        <f t="shared" si="11"/>
        <v>722</v>
      </c>
      <c r="T36" s="381">
        <f t="shared" si="11"/>
        <v>722</v>
      </c>
      <c r="U36" s="381">
        <f t="shared" si="11"/>
        <v>2752</v>
      </c>
      <c r="V36" s="381">
        <f t="shared" si="11"/>
        <v>2752</v>
      </c>
      <c r="W36" s="371"/>
    </row>
    <row r="37" spans="2:25" s="375" customFormat="1">
      <c r="B37" s="924" t="str">
        <f t="shared" si="1"/>
        <v>Nowa Energetyka</v>
      </c>
      <c r="C37" s="379">
        <f t="shared" si="2"/>
        <v>56</v>
      </c>
      <c r="D37" s="379">
        <f t="shared" ref="D37:V37" si="12">D14-D57</f>
        <v>56</v>
      </c>
      <c r="E37" s="379">
        <f t="shared" si="12"/>
        <v>69</v>
      </c>
      <c r="F37" s="379">
        <f t="shared" si="12"/>
        <v>69</v>
      </c>
      <c r="G37" s="379">
        <f t="shared" si="12"/>
        <v>70</v>
      </c>
      <c r="H37" s="379">
        <f t="shared" si="12"/>
        <v>70</v>
      </c>
      <c r="I37" s="379">
        <f t="shared" si="12"/>
        <v>88</v>
      </c>
      <c r="J37" s="379">
        <f t="shared" si="12"/>
        <v>88</v>
      </c>
      <c r="K37" s="379">
        <f t="shared" si="12"/>
        <v>283</v>
      </c>
      <c r="L37" s="379">
        <f t="shared" si="12"/>
        <v>283</v>
      </c>
      <c r="M37" s="414">
        <f t="shared" si="12"/>
        <v>83</v>
      </c>
      <c r="N37" s="414">
        <f t="shared" si="12"/>
        <v>83</v>
      </c>
      <c r="O37" s="379">
        <f t="shared" si="12"/>
        <v>87</v>
      </c>
      <c r="P37" s="379">
        <f t="shared" si="12"/>
        <v>87</v>
      </c>
      <c r="Q37" s="381">
        <f t="shared" si="12"/>
        <v>95</v>
      </c>
      <c r="R37" s="381">
        <f t="shared" si="12"/>
        <v>95</v>
      </c>
      <c r="S37" s="381">
        <f t="shared" si="12"/>
        <v>88</v>
      </c>
      <c r="T37" s="381">
        <f t="shared" si="12"/>
        <v>88</v>
      </c>
      <c r="U37" s="381">
        <f t="shared" si="12"/>
        <v>353</v>
      </c>
      <c r="V37" s="381">
        <f t="shared" si="12"/>
        <v>353</v>
      </c>
      <c r="W37" s="371"/>
    </row>
    <row r="38" spans="2:25">
      <c r="B38" s="802" t="str">
        <f t="shared" si="1"/>
        <v>Consumers &amp; Products</v>
      </c>
      <c r="C38" s="803">
        <f t="shared" si="2"/>
        <v>286</v>
      </c>
      <c r="D38" s="803">
        <f t="shared" ref="D38:V38" si="13">D15-D58</f>
        <v>286</v>
      </c>
      <c r="E38" s="803">
        <f t="shared" si="13"/>
        <v>296</v>
      </c>
      <c r="F38" s="803">
        <f t="shared" si="13"/>
        <v>296</v>
      </c>
      <c r="G38" s="803">
        <f t="shared" si="13"/>
        <v>297</v>
      </c>
      <c r="H38" s="803">
        <f t="shared" si="13"/>
        <v>297</v>
      </c>
      <c r="I38" s="803">
        <f t="shared" si="13"/>
        <v>387</v>
      </c>
      <c r="J38" s="803">
        <f t="shared" si="13"/>
        <v>387</v>
      </c>
      <c r="K38" s="803">
        <f t="shared" si="13"/>
        <v>1266</v>
      </c>
      <c r="L38" s="803">
        <f t="shared" si="13"/>
        <v>1266</v>
      </c>
      <c r="M38" s="936">
        <f t="shared" si="13"/>
        <v>308</v>
      </c>
      <c r="N38" s="936">
        <f t="shared" si="13"/>
        <v>308</v>
      </c>
      <c r="O38" s="803">
        <f t="shared" si="13"/>
        <v>329</v>
      </c>
      <c r="P38" s="803">
        <f t="shared" si="13"/>
        <v>329</v>
      </c>
      <c r="Q38" s="803">
        <f t="shared" si="13"/>
        <v>328</v>
      </c>
      <c r="R38" s="803">
        <f t="shared" si="13"/>
        <v>328</v>
      </c>
      <c r="S38" s="803">
        <f t="shared" si="13"/>
        <v>346</v>
      </c>
      <c r="T38" s="803">
        <f t="shared" si="13"/>
        <v>346</v>
      </c>
      <c r="U38" s="803">
        <f t="shared" si="13"/>
        <v>1311</v>
      </c>
      <c r="V38" s="803">
        <f t="shared" si="13"/>
        <v>1311</v>
      </c>
    </row>
    <row r="39" spans="2:25" s="375" customFormat="1">
      <c r="B39" s="924" t="str">
        <f t="shared" si="1"/>
        <v>Detal paliwowy</v>
      </c>
      <c r="C39" s="379">
        <f t="shared" si="2"/>
        <v>265</v>
      </c>
      <c r="D39" s="379">
        <f t="shared" ref="D39:V39" si="14">D16-D59</f>
        <v>265</v>
      </c>
      <c r="E39" s="379">
        <f t="shared" si="14"/>
        <v>274</v>
      </c>
      <c r="F39" s="379">
        <f t="shared" si="14"/>
        <v>274</v>
      </c>
      <c r="G39" s="379">
        <f t="shared" si="14"/>
        <v>281</v>
      </c>
      <c r="H39" s="379">
        <f t="shared" si="14"/>
        <v>281</v>
      </c>
      <c r="I39" s="379">
        <f t="shared" si="14"/>
        <v>364</v>
      </c>
      <c r="J39" s="379">
        <f t="shared" si="14"/>
        <v>364</v>
      </c>
      <c r="K39" s="379">
        <f t="shared" si="14"/>
        <v>1184</v>
      </c>
      <c r="L39" s="379">
        <f t="shared" si="14"/>
        <v>1184</v>
      </c>
      <c r="M39" s="414">
        <f t="shared" si="14"/>
        <v>288</v>
      </c>
      <c r="N39" s="414">
        <f t="shared" si="14"/>
        <v>288</v>
      </c>
      <c r="O39" s="379">
        <f t="shared" si="14"/>
        <v>288</v>
      </c>
      <c r="P39" s="379">
        <f t="shared" si="14"/>
        <v>288</v>
      </c>
      <c r="Q39" s="381">
        <f t="shared" si="14"/>
        <v>283</v>
      </c>
      <c r="R39" s="381">
        <f t="shared" si="14"/>
        <v>283</v>
      </c>
      <c r="S39" s="381">
        <f t="shared" si="14"/>
        <v>294</v>
      </c>
      <c r="T39" s="381">
        <f t="shared" si="14"/>
        <v>294</v>
      </c>
      <c r="U39" s="381">
        <f t="shared" si="14"/>
        <v>1153</v>
      </c>
      <c r="V39" s="381">
        <f t="shared" si="14"/>
        <v>1153</v>
      </c>
      <c r="W39" s="371"/>
    </row>
    <row r="40" spans="2:25" s="375" customFormat="1">
      <c r="B40" s="924" t="str">
        <f t="shared" si="1"/>
        <v>Detal niepaliwowy</v>
      </c>
      <c r="C40" s="379">
        <f t="shared" si="2"/>
        <v>21</v>
      </c>
      <c r="D40" s="379">
        <f t="shared" ref="D40:V40" si="15">D17-D60</f>
        <v>21</v>
      </c>
      <c r="E40" s="379">
        <f t="shared" si="15"/>
        <v>22</v>
      </c>
      <c r="F40" s="379">
        <f t="shared" si="15"/>
        <v>22</v>
      </c>
      <c r="G40" s="379">
        <f t="shared" si="15"/>
        <v>16</v>
      </c>
      <c r="H40" s="379">
        <f t="shared" si="15"/>
        <v>16</v>
      </c>
      <c r="I40" s="379">
        <f t="shared" si="15"/>
        <v>23</v>
      </c>
      <c r="J40" s="379">
        <f t="shared" si="15"/>
        <v>23</v>
      </c>
      <c r="K40" s="379">
        <f t="shared" si="15"/>
        <v>82</v>
      </c>
      <c r="L40" s="379">
        <f t="shared" si="15"/>
        <v>82</v>
      </c>
      <c r="M40" s="414">
        <f t="shared" si="15"/>
        <v>20</v>
      </c>
      <c r="N40" s="414">
        <f t="shared" si="15"/>
        <v>20</v>
      </c>
      <c r="O40" s="379">
        <f t="shared" si="15"/>
        <v>41</v>
      </c>
      <c r="P40" s="379">
        <f t="shared" si="15"/>
        <v>41</v>
      </c>
      <c r="Q40" s="381">
        <f t="shared" si="15"/>
        <v>45</v>
      </c>
      <c r="R40" s="381">
        <f t="shared" si="15"/>
        <v>45</v>
      </c>
      <c r="S40" s="381">
        <f t="shared" si="15"/>
        <v>52</v>
      </c>
      <c r="T40" s="381">
        <f t="shared" si="15"/>
        <v>52</v>
      </c>
      <c r="U40" s="381">
        <f t="shared" si="15"/>
        <v>158</v>
      </c>
      <c r="V40" s="381">
        <f t="shared" si="15"/>
        <v>158</v>
      </c>
      <c r="W40" s="371"/>
    </row>
    <row r="41" spans="2:25" ht="12.6" customHeight="1" thickBot="1">
      <c r="B41" s="802" t="str">
        <f t="shared" si="1"/>
        <v>Corporate Functions1</v>
      </c>
      <c r="C41" s="803">
        <f t="shared" si="2"/>
        <v>89</v>
      </c>
      <c r="D41" s="803">
        <f t="shared" ref="D41:V41" si="16">D18-D61</f>
        <v>89</v>
      </c>
      <c r="E41" s="803">
        <f t="shared" si="16"/>
        <v>90</v>
      </c>
      <c r="F41" s="803">
        <f t="shared" si="16"/>
        <v>90</v>
      </c>
      <c r="G41" s="803">
        <f t="shared" si="16"/>
        <v>95</v>
      </c>
      <c r="H41" s="803">
        <f t="shared" si="16"/>
        <v>95</v>
      </c>
      <c r="I41" s="803">
        <f t="shared" si="16"/>
        <v>93</v>
      </c>
      <c r="J41" s="803">
        <f t="shared" si="16"/>
        <v>93</v>
      </c>
      <c r="K41" s="803">
        <f t="shared" si="16"/>
        <v>367</v>
      </c>
      <c r="L41" s="803">
        <f t="shared" si="16"/>
        <v>367</v>
      </c>
      <c r="M41" s="936">
        <f t="shared" si="16"/>
        <v>94</v>
      </c>
      <c r="N41" s="936">
        <f t="shared" si="16"/>
        <v>94</v>
      </c>
      <c r="O41" s="803">
        <f t="shared" si="16"/>
        <v>109</v>
      </c>
      <c r="P41" s="803">
        <f t="shared" si="16"/>
        <v>109</v>
      </c>
      <c r="Q41" s="803">
        <f t="shared" si="16"/>
        <v>121</v>
      </c>
      <c r="R41" s="803">
        <f t="shared" si="16"/>
        <v>121</v>
      </c>
      <c r="S41" s="803">
        <f t="shared" si="16"/>
        <v>131</v>
      </c>
      <c r="T41" s="803">
        <f t="shared" si="16"/>
        <v>131</v>
      </c>
      <c r="U41" s="803">
        <f t="shared" si="16"/>
        <v>455</v>
      </c>
      <c r="V41" s="803">
        <f t="shared" si="16"/>
        <v>455</v>
      </c>
    </row>
    <row r="42" spans="2:25" ht="12" thickBot="1">
      <c r="B42" s="413" t="str">
        <f>names!A360</f>
        <v>Amortyzacja</v>
      </c>
      <c r="C42" s="412">
        <f>SUM(C28,C31,C34,C38,C41:C41)</f>
        <v>3356</v>
      </c>
      <c r="D42" s="412">
        <f t="shared" ref="D42:V42" si="17">SUM(D28,D31,D34,D38,D41:D41)</f>
        <v>3356</v>
      </c>
      <c r="E42" s="412">
        <f t="shared" si="17"/>
        <v>3502</v>
      </c>
      <c r="F42" s="412">
        <f t="shared" si="17"/>
        <v>3502</v>
      </c>
      <c r="G42" s="412">
        <f t="shared" si="17"/>
        <v>3365</v>
      </c>
      <c r="H42" s="412">
        <f t="shared" si="17"/>
        <v>3365</v>
      </c>
      <c r="I42" s="412">
        <f t="shared" si="17"/>
        <v>3791</v>
      </c>
      <c r="J42" s="412">
        <f t="shared" si="17"/>
        <v>3791</v>
      </c>
      <c r="K42" s="412">
        <f t="shared" si="17"/>
        <v>14014</v>
      </c>
      <c r="L42" s="412">
        <f t="shared" si="17"/>
        <v>14014</v>
      </c>
      <c r="M42" s="412">
        <f t="shared" si="17"/>
        <v>3347</v>
      </c>
      <c r="N42" s="412">
        <f t="shared" si="17"/>
        <v>3347</v>
      </c>
      <c r="O42" s="412">
        <f t="shared" si="17"/>
        <v>3491</v>
      </c>
      <c r="P42" s="412">
        <f t="shared" si="17"/>
        <v>3491</v>
      </c>
      <c r="Q42" s="412">
        <f t="shared" si="17"/>
        <v>3534</v>
      </c>
      <c r="R42" s="412">
        <f t="shared" si="17"/>
        <v>3534</v>
      </c>
      <c r="S42" s="412">
        <f t="shared" si="17"/>
        <v>3986</v>
      </c>
      <c r="T42" s="412">
        <f t="shared" si="17"/>
        <v>3986</v>
      </c>
      <c r="U42" s="412">
        <f t="shared" si="17"/>
        <v>14358</v>
      </c>
      <c r="V42" s="412">
        <f t="shared" si="17"/>
        <v>14358</v>
      </c>
    </row>
    <row r="43" spans="2:25">
      <c r="B43" s="425"/>
      <c r="C43" s="426"/>
      <c r="D43" s="426"/>
      <c r="E43" s="426"/>
      <c r="F43" s="426"/>
      <c r="G43" s="426"/>
      <c r="H43" s="426"/>
      <c r="I43" s="426"/>
      <c r="J43" s="426"/>
      <c r="K43" s="426"/>
      <c r="L43" s="426"/>
      <c r="M43" s="426"/>
      <c r="N43" s="426"/>
      <c r="O43" s="426"/>
      <c r="P43" s="426"/>
      <c r="Q43" s="426"/>
      <c r="R43" s="426"/>
      <c r="S43" s="426"/>
      <c r="T43" s="426"/>
      <c r="U43" s="426"/>
      <c r="V43" s="426"/>
    </row>
    <row r="44" spans="2:25">
      <c r="B44" s="375"/>
      <c r="C44" s="418"/>
      <c r="D44" s="418"/>
      <c r="E44" s="418"/>
      <c r="F44" s="418"/>
      <c r="G44" s="418"/>
      <c r="H44" s="418"/>
      <c r="I44" s="418"/>
      <c r="J44" s="418"/>
      <c r="K44" s="418"/>
      <c r="L44" s="418"/>
      <c r="M44" s="418"/>
      <c r="N44" s="418"/>
      <c r="O44" s="418"/>
      <c r="P44" s="418"/>
      <c r="Q44" s="418"/>
      <c r="R44" s="418"/>
      <c r="S44" s="418"/>
      <c r="T44" s="418"/>
      <c r="U44" s="418"/>
      <c r="V44" s="418"/>
    </row>
    <row r="45" spans="2:25" ht="15.75">
      <c r="B45" s="396" t="str">
        <f>names!A363</f>
        <v>EBIT LIFO</v>
      </c>
      <c r="C45" s="418"/>
      <c r="D45" s="418"/>
      <c r="E45" s="418"/>
      <c r="F45" s="418"/>
      <c r="G45" s="418"/>
      <c r="H45" s="418"/>
      <c r="I45" s="418"/>
      <c r="J45" s="418"/>
      <c r="K45" s="418"/>
      <c r="L45" s="418"/>
      <c r="M45" s="418"/>
      <c r="N45" s="418"/>
      <c r="O45" s="418"/>
      <c r="P45" s="418"/>
      <c r="Q45" s="418"/>
      <c r="R45" s="418"/>
      <c r="S45" s="418"/>
      <c r="T45" s="418"/>
      <c r="U45" s="418"/>
      <c r="V45" s="418"/>
    </row>
    <row r="46" spans="2:25" ht="9.75" customHeight="1">
      <c r="B46" s="375"/>
      <c r="C46" s="424"/>
      <c r="D46" s="424"/>
      <c r="E46" s="424"/>
      <c r="F46" s="424"/>
      <c r="G46" s="424"/>
      <c r="H46" s="424"/>
      <c r="I46" s="424"/>
      <c r="J46" s="424"/>
      <c r="K46" s="424"/>
      <c r="L46" s="424"/>
      <c r="M46" s="424"/>
      <c r="N46" s="424"/>
      <c r="O46" s="424"/>
      <c r="P46" s="424"/>
      <c r="Q46" s="424"/>
      <c r="R46" s="424"/>
      <c r="S46" s="424"/>
      <c r="T46" s="424"/>
      <c r="U46" s="424"/>
      <c r="V46" s="424"/>
    </row>
    <row r="47" spans="2:25" ht="55.5" customHeight="1">
      <c r="B47" s="372" t="str">
        <f>names!A365</f>
        <v>Wyszczególnienie, 
mln PLN</v>
      </c>
      <c r="C47" s="372" t="str">
        <f t="shared" ref="C47:V47" si="18">C4</f>
        <v>I kw. 
2024*</v>
      </c>
      <c r="D47" s="372" t="str">
        <f t="shared" si="18"/>
        <v>I kw.
2024
przed odpisem**</v>
      </c>
      <c r="E47" s="372" t="str">
        <f t="shared" si="18"/>
        <v>II kw. 
2024*</v>
      </c>
      <c r="F47" s="372" t="str">
        <f t="shared" si="18"/>
        <v>II kw.
2024
przed odpisem**</v>
      </c>
      <c r="G47" s="372" t="str">
        <f t="shared" si="18"/>
        <v>III kw. 
2024*</v>
      </c>
      <c r="H47" s="372" t="str">
        <f t="shared" si="18"/>
        <v>III kw.
2024
przed odpisem**</v>
      </c>
      <c r="I47" s="372" t="str">
        <f t="shared" si="18"/>
        <v>IV kw. 
2024*</v>
      </c>
      <c r="J47" s="372" t="str">
        <f t="shared" si="18"/>
        <v>IV kw.
2024
przed odpisem**</v>
      </c>
      <c r="K47" s="372" t="str">
        <f t="shared" si="18"/>
        <v>12 m-cy 2024*</v>
      </c>
      <c r="L47" s="372" t="str">
        <f t="shared" si="18"/>
        <v>12 m-cy
2024
przed odpisem**</v>
      </c>
      <c r="M47" s="372" t="str">
        <f t="shared" si="18"/>
        <v>I kw. 
2025</v>
      </c>
      <c r="N47" s="372" t="str">
        <f t="shared" si="18"/>
        <v>I kw.
2025
przed odpisem**</v>
      </c>
      <c r="O47" s="372" t="str">
        <f t="shared" si="18"/>
        <v>II kw. 
2025</v>
      </c>
      <c r="P47" s="372" t="str">
        <f t="shared" si="18"/>
        <v>II kw.
2025
przed odpisem**</v>
      </c>
      <c r="Q47" s="372" t="str">
        <f t="shared" si="18"/>
        <v>III kw. 
2025</v>
      </c>
      <c r="R47" s="372" t="str">
        <f t="shared" si="18"/>
        <v>III kw.
2025
przed odpisem**</v>
      </c>
      <c r="S47" s="372" t="str">
        <f t="shared" si="18"/>
        <v>IV kw. 
2025</v>
      </c>
      <c r="T47" s="372" t="str">
        <f t="shared" si="18"/>
        <v>IV kw.
2025
przed odpisem**</v>
      </c>
      <c r="U47" s="372" t="str">
        <f t="shared" si="18"/>
        <v>12 m-cy 2025</v>
      </c>
      <c r="V47" s="372" t="str">
        <f t="shared" si="18"/>
        <v>12 m-cy
2025
przed odpisem**</v>
      </c>
    </row>
    <row r="48" spans="2:25" s="471" customFormat="1">
      <c r="B48" s="802" t="str">
        <f t="shared" ref="B48:B61" si="19">B5</f>
        <v>Upstream &amp; Supply</v>
      </c>
      <c r="C48" s="803">
        <v>1189</v>
      </c>
      <c r="D48" s="803">
        <v>1232</v>
      </c>
      <c r="E48" s="803">
        <v>-2441</v>
      </c>
      <c r="F48" s="803">
        <v>-2410</v>
      </c>
      <c r="G48" s="803">
        <v>4960</v>
      </c>
      <c r="H48" s="803">
        <v>5142</v>
      </c>
      <c r="I48" s="803">
        <v>8873</v>
      </c>
      <c r="J48" s="803">
        <v>8774</v>
      </c>
      <c r="K48" s="803">
        <v>12581</v>
      </c>
      <c r="L48" s="803">
        <v>12738</v>
      </c>
      <c r="M48" s="803">
        <v>3933</v>
      </c>
      <c r="N48" s="803">
        <v>4070</v>
      </c>
      <c r="O48" s="803">
        <v>1668</v>
      </c>
      <c r="P48" s="803">
        <v>2044</v>
      </c>
      <c r="Q48" s="803">
        <v>2000</v>
      </c>
      <c r="R48" s="803">
        <v>2011</v>
      </c>
      <c r="S48" s="803">
        <v>2134</v>
      </c>
      <c r="T48" s="803">
        <v>2704</v>
      </c>
      <c r="U48" s="803">
        <v>9735</v>
      </c>
      <c r="V48" s="803">
        <v>10829</v>
      </c>
      <c r="W48" s="421"/>
      <c r="Y48" s="420"/>
    </row>
    <row r="49" spans="2:25" s="375" customFormat="1">
      <c r="B49" s="924" t="str">
        <f t="shared" si="19"/>
        <v>Upstream</v>
      </c>
      <c r="C49" s="379">
        <v>-5395</v>
      </c>
      <c r="D49" s="379">
        <v>-5352</v>
      </c>
      <c r="E49" s="379">
        <v>-5175</v>
      </c>
      <c r="F49" s="379">
        <v>-5144</v>
      </c>
      <c r="G49" s="379">
        <v>2034</v>
      </c>
      <c r="H49" s="379">
        <v>2216</v>
      </c>
      <c r="I49" s="379">
        <v>3713</v>
      </c>
      <c r="J49" s="379">
        <v>3614</v>
      </c>
      <c r="K49" s="379">
        <v>-4823</v>
      </c>
      <c r="L49" s="379">
        <v>-4666</v>
      </c>
      <c r="M49" s="379">
        <v>3614</v>
      </c>
      <c r="N49" s="379">
        <v>3751</v>
      </c>
      <c r="O49" s="379">
        <v>1427</v>
      </c>
      <c r="P49" s="379">
        <v>1800</v>
      </c>
      <c r="Q49" s="379">
        <v>1875</v>
      </c>
      <c r="R49" s="379">
        <v>1886</v>
      </c>
      <c r="S49" s="381">
        <v>1364</v>
      </c>
      <c r="T49" s="381">
        <v>1934</v>
      </c>
      <c r="U49" s="381">
        <v>8280</v>
      </c>
      <c r="V49" s="381">
        <v>9371</v>
      </c>
      <c r="W49" s="421"/>
      <c r="Y49" s="940"/>
    </row>
    <row r="50" spans="2:25" s="375" customFormat="1">
      <c r="B50" s="924" t="str">
        <f t="shared" si="19"/>
        <v>Supply</v>
      </c>
      <c r="C50" s="379">
        <v>6584</v>
      </c>
      <c r="D50" s="379">
        <v>6584</v>
      </c>
      <c r="E50" s="379">
        <v>2734</v>
      </c>
      <c r="F50" s="379">
        <v>2734</v>
      </c>
      <c r="G50" s="379">
        <v>2926</v>
      </c>
      <c r="H50" s="379">
        <v>2926</v>
      </c>
      <c r="I50" s="379">
        <v>5160</v>
      </c>
      <c r="J50" s="379">
        <v>5160</v>
      </c>
      <c r="K50" s="379">
        <v>17404</v>
      </c>
      <c r="L50" s="379">
        <v>17404</v>
      </c>
      <c r="M50" s="379">
        <v>319</v>
      </c>
      <c r="N50" s="379">
        <v>319</v>
      </c>
      <c r="O50" s="379">
        <v>241</v>
      </c>
      <c r="P50" s="379">
        <v>244</v>
      </c>
      <c r="Q50" s="379">
        <v>125</v>
      </c>
      <c r="R50" s="379">
        <v>125</v>
      </c>
      <c r="S50" s="381">
        <v>770</v>
      </c>
      <c r="T50" s="381">
        <v>770</v>
      </c>
      <c r="U50" s="381">
        <v>1455</v>
      </c>
      <c r="V50" s="381">
        <v>1458</v>
      </c>
      <c r="W50" s="421"/>
      <c r="Y50" s="940"/>
    </row>
    <row r="51" spans="2:25" s="471" customFormat="1">
      <c r="B51" s="802" t="str">
        <f t="shared" si="19"/>
        <v>Downstream</v>
      </c>
      <c r="C51" s="803">
        <v>1079</v>
      </c>
      <c r="D51" s="803">
        <v>1747</v>
      </c>
      <c r="E51" s="803">
        <v>1664</v>
      </c>
      <c r="F51" s="803">
        <v>2129</v>
      </c>
      <c r="G51" s="803">
        <v>-3057</v>
      </c>
      <c r="H51" s="803">
        <v>215</v>
      </c>
      <c r="I51" s="803">
        <v>-7853</v>
      </c>
      <c r="J51" s="803">
        <v>308</v>
      </c>
      <c r="K51" s="803">
        <v>-8167</v>
      </c>
      <c r="L51" s="803">
        <v>4399</v>
      </c>
      <c r="M51" s="803">
        <v>-630</v>
      </c>
      <c r="N51" s="803">
        <v>625</v>
      </c>
      <c r="O51" s="803">
        <v>517</v>
      </c>
      <c r="P51" s="803">
        <v>1512</v>
      </c>
      <c r="Q51" s="803">
        <v>66</v>
      </c>
      <c r="R51" s="803">
        <v>1737</v>
      </c>
      <c r="S51" s="803">
        <v>638</v>
      </c>
      <c r="T51" s="803">
        <v>2823</v>
      </c>
      <c r="U51" s="803">
        <v>591</v>
      </c>
      <c r="V51" s="803">
        <v>6697</v>
      </c>
      <c r="W51" s="421"/>
      <c r="Y51" s="420"/>
    </row>
    <row r="52" spans="2:25" s="375" customFormat="1">
      <c r="B52" s="924" t="str">
        <f t="shared" si="19"/>
        <v>Rafineria</v>
      </c>
      <c r="C52" s="379">
        <v>1896</v>
      </c>
      <c r="D52" s="379">
        <v>1898</v>
      </c>
      <c r="E52" s="379">
        <v>2480</v>
      </c>
      <c r="F52" s="379">
        <v>2484</v>
      </c>
      <c r="G52" s="379">
        <v>-1799</v>
      </c>
      <c r="H52" s="379">
        <v>550</v>
      </c>
      <c r="I52" s="379">
        <v>1904</v>
      </c>
      <c r="J52" s="379">
        <v>1198</v>
      </c>
      <c r="K52" s="379">
        <v>4481</v>
      </c>
      <c r="L52" s="379">
        <v>6130</v>
      </c>
      <c r="M52" s="379">
        <v>868</v>
      </c>
      <c r="N52" s="379">
        <v>1129</v>
      </c>
      <c r="O52" s="379">
        <v>1696</v>
      </c>
      <c r="P52" s="379">
        <v>1830</v>
      </c>
      <c r="Q52" s="379">
        <v>1376</v>
      </c>
      <c r="R52" s="379">
        <v>1923</v>
      </c>
      <c r="S52" s="381">
        <v>3003</v>
      </c>
      <c r="T52" s="381">
        <v>2971</v>
      </c>
      <c r="U52" s="381">
        <v>6943</v>
      </c>
      <c r="V52" s="381">
        <v>7853</v>
      </c>
      <c r="W52" s="421"/>
      <c r="Y52" s="940"/>
    </row>
    <row r="53" spans="2:25" s="375" customFormat="1">
      <c r="B53" s="924" t="str">
        <f t="shared" si="19"/>
        <v>Petrochemia</v>
      </c>
      <c r="C53" s="379">
        <v>-817</v>
      </c>
      <c r="D53" s="379">
        <v>-151</v>
      </c>
      <c r="E53" s="379">
        <v>-816</v>
      </c>
      <c r="F53" s="379">
        <v>-355</v>
      </c>
      <c r="G53" s="379">
        <v>-1258</v>
      </c>
      <c r="H53" s="379">
        <v>-335</v>
      </c>
      <c r="I53" s="379">
        <v>-9757</v>
      </c>
      <c r="J53" s="379">
        <v>-890</v>
      </c>
      <c r="K53" s="379">
        <v>-12648</v>
      </c>
      <c r="L53" s="379">
        <v>-1731</v>
      </c>
      <c r="M53" s="379">
        <v>-1498</v>
      </c>
      <c r="N53" s="379">
        <v>-504</v>
      </c>
      <c r="O53" s="379">
        <v>-1179</v>
      </c>
      <c r="P53" s="379">
        <v>-318</v>
      </c>
      <c r="Q53" s="379">
        <v>-1310</v>
      </c>
      <c r="R53" s="379">
        <v>-186</v>
      </c>
      <c r="S53" s="381">
        <v>-2365</v>
      </c>
      <c r="T53" s="381">
        <v>-148</v>
      </c>
      <c r="U53" s="381">
        <v>-6352</v>
      </c>
      <c r="V53" s="381">
        <v>-1156</v>
      </c>
      <c r="W53" s="421"/>
      <c r="Y53" s="940"/>
    </row>
    <row r="54" spans="2:25" s="471" customFormat="1">
      <c r="B54" s="802" t="str">
        <f t="shared" si="19"/>
        <v>Energy</v>
      </c>
      <c r="C54" s="803">
        <v>2745</v>
      </c>
      <c r="D54" s="803">
        <v>2752</v>
      </c>
      <c r="E54" s="803">
        <v>871</v>
      </c>
      <c r="F54" s="803">
        <v>896</v>
      </c>
      <c r="G54" s="803">
        <v>673</v>
      </c>
      <c r="H54" s="803">
        <v>708</v>
      </c>
      <c r="I54" s="803">
        <v>2071</v>
      </c>
      <c r="J54" s="803">
        <v>2547</v>
      </c>
      <c r="K54" s="803">
        <v>6360</v>
      </c>
      <c r="L54" s="803">
        <v>6903</v>
      </c>
      <c r="M54" s="803">
        <v>3228</v>
      </c>
      <c r="N54" s="803">
        <v>3246</v>
      </c>
      <c r="O54" s="803">
        <v>1112</v>
      </c>
      <c r="P54" s="803">
        <v>1189</v>
      </c>
      <c r="Q54" s="803">
        <v>1102</v>
      </c>
      <c r="R54" s="803">
        <v>1136</v>
      </c>
      <c r="S54" s="803">
        <v>2428</v>
      </c>
      <c r="T54" s="803">
        <v>2517</v>
      </c>
      <c r="U54" s="803">
        <v>7870</v>
      </c>
      <c r="V54" s="803">
        <v>8088</v>
      </c>
      <c r="W54" s="421"/>
      <c r="Y54" s="420"/>
    </row>
    <row r="55" spans="2:25" s="375" customFormat="1" ht="11.25" customHeight="1">
      <c r="B55" s="924" t="str">
        <f t="shared" si="19"/>
        <v>Wytwarzanie</v>
      </c>
      <c r="C55" s="379">
        <v>1047</v>
      </c>
      <c r="D55" s="379">
        <v>1050</v>
      </c>
      <c r="E55" s="379">
        <v>369</v>
      </c>
      <c r="F55" s="379">
        <v>371</v>
      </c>
      <c r="G55" s="379">
        <v>203</v>
      </c>
      <c r="H55" s="379">
        <v>236</v>
      </c>
      <c r="I55" s="379">
        <v>1119</v>
      </c>
      <c r="J55" s="379">
        <v>1200</v>
      </c>
      <c r="K55" s="379">
        <v>2738</v>
      </c>
      <c r="L55" s="379">
        <v>2857</v>
      </c>
      <c r="M55" s="379">
        <v>1162</v>
      </c>
      <c r="N55" s="379">
        <v>1163</v>
      </c>
      <c r="O55" s="379">
        <v>312</v>
      </c>
      <c r="P55" s="379">
        <v>369</v>
      </c>
      <c r="Q55" s="379">
        <v>370</v>
      </c>
      <c r="R55" s="379">
        <v>389</v>
      </c>
      <c r="S55" s="381">
        <v>1001</v>
      </c>
      <c r="T55" s="381">
        <v>1040</v>
      </c>
      <c r="U55" s="381">
        <v>2845</v>
      </c>
      <c r="V55" s="381">
        <v>2961</v>
      </c>
      <c r="W55" s="421"/>
      <c r="Y55" s="940"/>
    </row>
    <row r="56" spans="2:25" s="375" customFormat="1" ht="11.25" customHeight="1">
      <c r="B56" s="924" t="str">
        <f t="shared" si="19"/>
        <v>Sieci Dystrybucyjne</v>
      </c>
      <c r="C56" s="379">
        <v>1484</v>
      </c>
      <c r="D56" s="379">
        <v>1488</v>
      </c>
      <c r="E56" s="379">
        <v>410</v>
      </c>
      <c r="F56" s="379">
        <v>433</v>
      </c>
      <c r="G56" s="379">
        <v>379</v>
      </c>
      <c r="H56" s="379">
        <v>381</v>
      </c>
      <c r="I56" s="379">
        <v>1133</v>
      </c>
      <c r="J56" s="379">
        <v>1226</v>
      </c>
      <c r="K56" s="379">
        <v>3406</v>
      </c>
      <c r="L56" s="379">
        <v>3528</v>
      </c>
      <c r="M56" s="379">
        <v>1958</v>
      </c>
      <c r="N56" s="379">
        <v>1975</v>
      </c>
      <c r="O56" s="379">
        <v>706</v>
      </c>
      <c r="P56" s="379">
        <v>726</v>
      </c>
      <c r="Q56" s="379">
        <v>634</v>
      </c>
      <c r="R56" s="379">
        <v>649</v>
      </c>
      <c r="S56" s="381">
        <v>1321</v>
      </c>
      <c r="T56" s="381">
        <v>1370</v>
      </c>
      <c r="U56" s="381">
        <v>4619</v>
      </c>
      <c r="V56" s="381">
        <v>4720</v>
      </c>
      <c r="W56" s="421"/>
      <c r="Y56" s="940"/>
    </row>
    <row r="57" spans="2:25" s="375" customFormat="1" ht="11.25" customHeight="1">
      <c r="B57" s="924" t="str">
        <f t="shared" si="19"/>
        <v>Nowa Energetyka</v>
      </c>
      <c r="C57" s="379">
        <v>214</v>
      </c>
      <c r="D57" s="379">
        <v>214</v>
      </c>
      <c r="E57" s="379">
        <v>92</v>
      </c>
      <c r="F57" s="379">
        <v>92</v>
      </c>
      <c r="G57" s="379">
        <v>91</v>
      </c>
      <c r="H57" s="379">
        <v>91</v>
      </c>
      <c r="I57" s="379">
        <v>-181</v>
      </c>
      <c r="J57" s="379">
        <v>121</v>
      </c>
      <c r="K57" s="379">
        <v>216</v>
      </c>
      <c r="L57" s="379">
        <v>518</v>
      </c>
      <c r="M57" s="379">
        <v>108</v>
      </c>
      <c r="N57" s="379">
        <v>108</v>
      </c>
      <c r="O57" s="379">
        <v>94</v>
      </c>
      <c r="P57" s="379">
        <v>94</v>
      </c>
      <c r="Q57" s="379">
        <v>98</v>
      </c>
      <c r="R57" s="379">
        <v>98</v>
      </c>
      <c r="S57" s="381">
        <v>106</v>
      </c>
      <c r="T57" s="381">
        <v>107</v>
      </c>
      <c r="U57" s="381">
        <v>406</v>
      </c>
      <c r="V57" s="381">
        <v>407</v>
      </c>
      <c r="W57" s="421"/>
      <c r="Y57" s="940"/>
    </row>
    <row r="58" spans="2:25" s="471" customFormat="1">
      <c r="B58" s="802" t="str">
        <f t="shared" si="19"/>
        <v>Consumers &amp; Products</v>
      </c>
      <c r="C58" s="803">
        <v>-16</v>
      </c>
      <c r="D58" s="803">
        <v>-16</v>
      </c>
      <c r="E58" s="803">
        <v>1341</v>
      </c>
      <c r="F58" s="803">
        <v>1340</v>
      </c>
      <c r="G58" s="803">
        <v>948</v>
      </c>
      <c r="H58" s="803">
        <v>950</v>
      </c>
      <c r="I58" s="803">
        <v>-749</v>
      </c>
      <c r="J58" s="803">
        <v>-547</v>
      </c>
      <c r="K58" s="803">
        <v>1524</v>
      </c>
      <c r="L58" s="803">
        <v>1727</v>
      </c>
      <c r="M58" s="803">
        <v>931</v>
      </c>
      <c r="N58" s="803">
        <v>925</v>
      </c>
      <c r="O58" s="803">
        <v>1631</v>
      </c>
      <c r="P58" s="803">
        <v>1670</v>
      </c>
      <c r="Q58" s="803">
        <v>1250</v>
      </c>
      <c r="R58" s="803">
        <v>1250</v>
      </c>
      <c r="S58" s="803">
        <v>371</v>
      </c>
      <c r="T58" s="803">
        <v>860</v>
      </c>
      <c r="U58" s="803">
        <v>4183</v>
      </c>
      <c r="V58" s="803">
        <v>4705</v>
      </c>
      <c r="W58" s="421"/>
      <c r="Y58" s="420"/>
    </row>
    <row r="59" spans="2:25" s="375" customFormat="1" ht="11.25" customHeight="1">
      <c r="B59" s="924" t="str">
        <f t="shared" si="19"/>
        <v>Detal paliwowy</v>
      </c>
      <c r="C59" s="379">
        <v>266</v>
      </c>
      <c r="D59" s="379">
        <v>266</v>
      </c>
      <c r="E59" s="379">
        <v>642</v>
      </c>
      <c r="F59" s="379">
        <v>642</v>
      </c>
      <c r="G59" s="379">
        <v>821</v>
      </c>
      <c r="H59" s="379">
        <v>823</v>
      </c>
      <c r="I59" s="379">
        <v>253</v>
      </c>
      <c r="J59" s="379">
        <v>348</v>
      </c>
      <c r="K59" s="379">
        <v>1982</v>
      </c>
      <c r="L59" s="379">
        <v>2079</v>
      </c>
      <c r="M59" s="379">
        <v>378</v>
      </c>
      <c r="N59" s="379">
        <v>378</v>
      </c>
      <c r="O59" s="379">
        <v>730</v>
      </c>
      <c r="P59" s="379">
        <v>763</v>
      </c>
      <c r="Q59" s="379">
        <v>812</v>
      </c>
      <c r="R59" s="379">
        <v>812</v>
      </c>
      <c r="S59" s="381">
        <v>193</v>
      </c>
      <c r="T59" s="381">
        <v>672</v>
      </c>
      <c r="U59" s="381">
        <v>2113</v>
      </c>
      <c r="V59" s="381">
        <v>2625</v>
      </c>
      <c r="W59" s="421"/>
      <c r="Y59" s="940"/>
    </row>
    <row r="60" spans="2:25" s="375" customFormat="1" ht="11.25" customHeight="1">
      <c r="B60" s="924" t="str">
        <f t="shared" si="19"/>
        <v>Detal niepaliwowy</v>
      </c>
      <c r="C60" s="379">
        <v>-282</v>
      </c>
      <c r="D60" s="379">
        <v>-282</v>
      </c>
      <c r="E60" s="379">
        <v>699</v>
      </c>
      <c r="F60" s="379">
        <v>698</v>
      </c>
      <c r="G60" s="379">
        <v>127</v>
      </c>
      <c r="H60" s="379">
        <v>127</v>
      </c>
      <c r="I60" s="379">
        <v>-1002</v>
      </c>
      <c r="J60" s="379">
        <v>-895</v>
      </c>
      <c r="K60" s="379">
        <v>-458</v>
      </c>
      <c r="L60" s="379">
        <v>-352</v>
      </c>
      <c r="M60" s="379">
        <v>553</v>
      </c>
      <c r="N60" s="379">
        <v>547</v>
      </c>
      <c r="O60" s="379">
        <v>901</v>
      </c>
      <c r="P60" s="379">
        <v>907</v>
      </c>
      <c r="Q60" s="379">
        <v>438</v>
      </c>
      <c r="R60" s="379">
        <v>438</v>
      </c>
      <c r="S60" s="381">
        <v>178</v>
      </c>
      <c r="T60" s="381">
        <v>188</v>
      </c>
      <c r="U60" s="381">
        <v>2070</v>
      </c>
      <c r="V60" s="381">
        <v>2080</v>
      </c>
      <c r="W60" s="421"/>
      <c r="Y60" s="940"/>
    </row>
    <row r="61" spans="2:25" s="471" customFormat="1" ht="12" thickBot="1">
      <c r="B61" s="802" t="str">
        <f t="shared" si="19"/>
        <v>Corporate Functions1</v>
      </c>
      <c r="C61" s="803">
        <v>-793</v>
      </c>
      <c r="D61" s="803">
        <v>-793</v>
      </c>
      <c r="E61" s="803">
        <v>-496</v>
      </c>
      <c r="F61" s="803">
        <v>-495</v>
      </c>
      <c r="G61" s="803">
        <v>-532</v>
      </c>
      <c r="H61" s="803">
        <v>-499</v>
      </c>
      <c r="I61" s="803">
        <v>-586</v>
      </c>
      <c r="J61" s="803">
        <v>-574</v>
      </c>
      <c r="K61" s="803">
        <v>-2407</v>
      </c>
      <c r="L61" s="803">
        <v>-2361</v>
      </c>
      <c r="M61" s="803">
        <v>-608</v>
      </c>
      <c r="N61" s="803">
        <v>-608</v>
      </c>
      <c r="O61" s="803">
        <v>-704</v>
      </c>
      <c r="P61" s="803">
        <v>-702</v>
      </c>
      <c r="Q61" s="803">
        <v>-783</v>
      </c>
      <c r="R61" s="803">
        <v>-781</v>
      </c>
      <c r="S61" s="803">
        <v>-744</v>
      </c>
      <c r="T61" s="803">
        <v>-736</v>
      </c>
      <c r="U61" s="803">
        <v>-2839</v>
      </c>
      <c r="V61" s="803">
        <v>-2827</v>
      </c>
      <c r="W61" s="421"/>
      <c r="Y61" s="420"/>
    </row>
    <row r="62" spans="2:25" ht="12" thickBot="1">
      <c r="B62" s="413" t="str">
        <f>names!A376</f>
        <v>EBIT LIFO</v>
      </c>
      <c r="C62" s="412">
        <v>4204</v>
      </c>
      <c r="D62" s="412">
        <v>4922</v>
      </c>
      <c r="E62" s="412">
        <v>939</v>
      </c>
      <c r="F62" s="412">
        <v>1460</v>
      </c>
      <c r="G62" s="412">
        <v>2992</v>
      </c>
      <c r="H62" s="412">
        <v>6516</v>
      </c>
      <c r="I62" s="412">
        <v>1756</v>
      </c>
      <c r="J62" s="412">
        <v>10508</v>
      </c>
      <c r="K62" s="412">
        <v>9891</v>
      </c>
      <c r="L62" s="412">
        <v>23406</v>
      </c>
      <c r="M62" s="412">
        <v>6854</v>
      </c>
      <c r="N62" s="412">
        <v>8258</v>
      </c>
      <c r="O62" s="412">
        <v>4224</v>
      </c>
      <c r="P62" s="412">
        <v>5713</v>
      </c>
      <c r="Q62" s="412">
        <v>3635</v>
      </c>
      <c r="R62" s="412">
        <v>5353</v>
      </c>
      <c r="S62" s="412">
        <v>4827</v>
      </c>
      <c r="T62" s="412">
        <v>8168</v>
      </c>
      <c r="U62" s="412">
        <v>19540</v>
      </c>
      <c r="V62" s="412">
        <v>27492</v>
      </c>
      <c r="W62" s="421"/>
    </row>
    <row r="63" spans="2:25" ht="12" thickBot="1">
      <c r="B63" s="413" t="str">
        <f t="shared" ref="B63:C65" si="20">B20</f>
        <v>Efekt LIFO</v>
      </c>
      <c r="C63" s="412">
        <f t="shared" si="20"/>
        <v>64</v>
      </c>
      <c r="D63" s="412">
        <f t="shared" ref="D63:V63" si="21">D20</f>
        <v>64</v>
      </c>
      <c r="E63" s="412">
        <f t="shared" si="21"/>
        <v>33</v>
      </c>
      <c r="F63" s="412">
        <f t="shared" si="21"/>
        <v>33</v>
      </c>
      <c r="G63" s="412">
        <f t="shared" si="21"/>
        <v>-324</v>
      </c>
      <c r="H63" s="412">
        <f t="shared" si="21"/>
        <v>-324</v>
      </c>
      <c r="I63" s="412">
        <f t="shared" si="21"/>
        <v>-44</v>
      </c>
      <c r="J63" s="412">
        <f t="shared" si="21"/>
        <v>-44</v>
      </c>
      <c r="K63" s="412">
        <f t="shared" si="21"/>
        <v>-271</v>
      </c>
      <c r="L63" s="412">
        <f t="shared" si="21"/>
        <v>-271</v>
      </c>
      <c r="M63" s="412">
        <f t="shared" si="21"/>
        <v>-34</v>
      </c>
      <c r="N63" s="412">
        <f t="shared" si="21"/>
        <v>-34</v>
      </c>
      <c r="O63" s="412">
        <f t="shared" si="21"/>
        <v>-874</v>
      </c>
      <c r="P63" s="412">
        <f t="shared" si="21"/>
        <v>-874</v>
      </c>
      <c r="Q63" s="412">
        <f t="shared" si="21"/>
        <v>127</v>
      </c>
      <c r="R63" s="412">
        <f t="shared" si="21"/>
        <v>127</v>
      </c>
      <c r="S63" s="412">
        <f t="shared" si="21"/>
        <v>-277</v>
      </c>
      <c r="T63" s="412">
        <f t="shared" si="21"/>
        <v>-277</v>
      </c>
      <c r="U63" s="412">
        <f t="shared" si="21"/>
        <v>-1058</v>
      </c>
      <c r="V63" s="412">
        <f t="shared" si="21"/>
        <v>-1058</v>
      </c>
      <c r="W63" s="421"/>
    </row>
    <row r="64" spans="2:25">
      <c r="B64" s="419" t="str">
        <f t="shared" si="20"/>
        <v>Upstream &amp; Supply</v>
      </c>
      <c r="C64" s="418">
        <f t="shared" si="20"/>
        <v>-24</v>
      </c>
      <c r="D64" s="418">
        <f t="shared" ref="D64:V64" si="22">D21</f>
        <v>-24</v>
      </c>
      <c r="E64" s="418">
        <f t="shared" si="22"/>
        <v>3</v>
      </c>
      <c r="F64" s="418">
        <f t="shared" si="22"/>
        <v>3</v>
      </c>
      <c r="G64" s="418">
        <f t="shared" si="22"/>
        <v>-169</v>
      </c>
      <c r="H64" s="418">
        <f t="shared" si="22"/>
        <v>-169</v>
      </c>
      <c r="I64" s="418">
        <f t="shared" si="22"/>
        <v>-45</v>
      </c>
      <c r="J64" s="418">
        <f t="shared" si="22"/>
        <v>-45</v>
      </c>
      <c r="K64" s="418">
        <f t="shared" si="22"/>
        <v>-235</v>
      </c>
      <c r="L64" s="418">
        <f t="shared" si="22"/>
        <v>-235</v>
      </c>
      <c r="M64" s="418">
        <f t="shared" si="22"/>
        <v>70</v>
      </c>
      <c r="N64" s="418">
        <f t="shared" si="22"/>
        <v>70</v>
      </c>
      <c r="O64" s="418">
        <f t="shared" si="22"/>
        <v>-128</v>
      </c>
      <c r="P64" s="418">
        <f t="shared" si="22"/>
        <v>-128</v>
      </c>
      <c r="Q64" s="418">
        <f t="shared" si="22"/>
        <v>-33</v>
      </c>
      <c r="R64" s="418">
        <f t="shared" si="22"/>
        <v>-33</v>
      </c>
      <c r="S64" s="418">
        <f t="shared" si="22"/>
        <v>-177</v>
      </c>
      <c r="T64" s="418">
        <f t="shared" si="22"/>
        <v>-177</v>
      </c>
      <c r="U64" s="418">
        <f t="shared" si="22"/>
        <v>-268</v>
      </c>
      <c r="V64" s="418">
        <f t="shared" si="22"/>
        <v>-268</v>
      </c>
      <c r="W64" s="421"/>
    </row>
    <row r="65" spans="2:23" ht="12" thickBot="1">
      <c r="B65" s="419" t="str">
        <f t="shared" si="20"/>
        <v>Downstream</v>
      </c>
      <c r="C65" s="418">
        <f t="shared" si="20"/>
        <v>88</v>
      </c>
      <c r="D65" s="418">
        <f t="shared" ref="D65:V65" si="23">D22</f>
        <v>88</v>
      </c>
      <c r="E65" s="418">
        <f t="shared" si="23"/>
        <v>30</v>
      </c>
      <c r="F65" s="418">
        <f t="shared" si="23"/>
        <v>30</v>
      </c>
      <c r="G65" s="418">
        <f t="shared" si="23"/>
        <v>-155</v>
      </c>
      <c r="H65" s="418">
        <f t="shared" si="23"/>
        <v>-155</v>
      </c>
      <c r="I65" s="418">
        <f t="shared" si="23"/>
        <v>1</v>
      </c>
      <c r="J65" s="418">
        <f t="shared" si="23"/>
        <v>1</v>
      </c>
      <c r="K65" s="418">
        <f t="shared" si="23"/>
        <v>-36</v>
      </c>
      <c r="L65" s="418">
        <f t="shared" si="23"/>
        <v>-36</v>
      </c>
      <c r="M65" s="418">
        <f t="shared" si="23"/>
        <v>-104</v>
      </c>
      <c r="N65" s="418">
        <f t="shared" si="23"/>
        <v>-104</v>
      </c>
      <c r="O65" s="418">
        <f t="shared" si="23"/>
        <v>-746</v>
      </c>
      <c r="P65" s="418">
        <f t="shared" si="23"/>
        <v>-746</v>
      </c>
      <c r="Q65" s="418">
        <f t="shared" si="23"/>
        <v>160</v>
      </c>
      <c r="R65" s="418">
        <f t="shared" si="23"/>
        <v>160</v>
      </c>
      <c r="S65" s="418">
        <f t="shared" si="23"/>
        <v>-100</v>
      </c>
      <c r="T65" s="418">
        <f t="shared" si="23"/>
        <v>-100</v>
      </c>
      <c r="U65" s="418">
        <f t="shared" si="23"/>
        <v>-790</v>
      </c>
      <c r="V65" s="418">
        <f t="shared" si="23"/>
        <v>-790</v>
      </c>
      <c r="W65" s="421"/>
    </row>
    <row r="66" spans="2:23" ht="12" thickBot="1">
      <c r="B66" s="413" t="str">
        <f>names!A2307</f>
        <v>EBIT</v>
      </c>
      <c r="C66" s="412">
        <f t="shared" ref="C66" si="24">C62+C63</f>
        <v>4268</v>
      </c>
      <c r="D66" s="412">
        <f t="shared" ref="D66:V66" si="25">D62+D63</f>
        <v>4986</v>
      </c>
      <c r="E66" s="412">
        <f t="shared" si="25"/>
        <v>972</v>
      </c>
      <c r="F66" s="412">
        <f t="shared" si="25"/>
        <v>1493</v>
      </c>
      <c r="G66" s="412">
        <f t="shared" si="25"/>
        <v>2668</v>
      </c>
      <c r="H66" s="412">
        <f t="shared" si="25"/>
        <v>6192</v>
      </c>
      <c r="I66" s="412">
        <f t="shared" si="25"/>
        <v>1712</v>
      </c>
      <c r="J66" s="412">
        <f t="shared" si="25"/>
        <v>10464</v>
      </c>
      <c r="K66" s="412">
        <f t="shared" si="25"/>
        <v>9620</v>
      </c>
      <c r="L66" s="412">
        <f t="shared" si="25"/>
        <v>23135</v>
      </c>
      <c r="M66" s="412">
        <f t="shared" si="25"/>
        <v>6820</v>
      </c>
      <c r="N66" s="412">
        <f t="shared" si="25"/>
        <v>8224</v>
      </c>
      <c r="O66" s="412">
        <f t="shared" si="25"/>
        <v>3350</v>
      </c>
      <c r="P66" s="412">
        <f t="shared" si="25"/>
        <v>4839</v>
      </c>
      <c r="Q66" s="412">
        <f t="shared" si="25"/>
        <v>3762</v>
      </c>
      <c r="R66" s="412">
        <f t="shared" si="25"/>
        <v>5480</v>
      </c>
      <c r="S66" s="412">
        <f t="shared" si="25"/>
        <v>4550</v>
      </c>
      <c r="T66" s="412">
        <f t="shared" si="25"/>
        <v>7891</v>
      </c>
      <c r="U66" s="412">
        <f t="shared" si="25"/>
        <v>18482</v>
      </c>
      <c r="V66" s="412">
        <f t="shared" si="25"/>
        <v>26434</v>
      </c>
      <c r="W66" s="421"/>
    </row>
    <row r="67" spans="2:23">
      <c r="B67" s="425"/>
      <c r="C67" s="426"/>
      <c r="D67" s="426"/>
      <c r="E67" s="426"/>
      <c r="F67" s="426"/>
      <c r="G67" s="426"/>
      <c r="H67" s="426"/>
      <c r="I67" s="426"/>
      <c r="J67" s="426"/>
      <c r="K67" s="426"/>
      <c r="L67" s="426"/>
      <c r="M67" s="938"/>
      <c r="N67" s="938"/>
      <c r="O67" s="426"/>
      <c r="P67" s="426"/>
      <c r="Q67" s="426"/>
      <c r="R67" s="426"/>
      <c r="S67" s="426"/>
      <c r="T67" s="426"/>
      <c r="U67" s="426"/>
      <c r="V67" s="426"/>
      <c r="W67" s="421"/>
    </row>
    <row r="68" spans="2:23">
      <c r="B68" s="419"/>
      <c r="C68" s="418"/>
      <c r="D68" s="418"/>
      <c r="E68" s="418"/>
      <c r="F68" s="418"/>
      <c r="G68" s="418"/>
      <c r="H68" s="418"/>
      <c r="I68" s="418"/>
      <c r="J68" s="418"/>
      <c r="K68" s="418"/>
      <c r="L68" s="418"/>
      <c r="M68" s="937"/>
      <c r="N68" s="937"/>
      <c r="O68" s="418"/>
      <c r="P68" s="418"/>
      <c r="Q68" s="418"/>
      <c r="R68" s="418"/>
      <c r="S68" s="418"/>
      <c r="T68" s="418"/>
      <c r="U68" s="418"/>
      <c r="V68" s="418"/>
      <c r="W68" s="421"/>
    </row>
    <row r="69" spans="2:23">
      <c r="B69" s="802" t="str">
        <f>names!A2308</f>
        <v>Odpisy aktualizujące</v>
      </c>
      <c r="C69" s="417"/>
      <c r="D69" s="417">
        <f>SUM(D70:D74)</f>
        <v>-718</v>
      </c>
      <c r="E69" s="417"/>
      <c r="F69" s="417">
        <v>-521</v>
      </c>
      <c r="G69" s="417"/>
      <c r="H69" s="417">
        <v>-3524</v>
      </c>
      <c r="I69" s="417"/>
      <c r="J69" s="417">
        <f>SUM(J70:J74)</f>
        <v>-8752</v>
      </c>
      <c r="K69" s="417"/>
      <c r="L69" s="417">
        <f>SUM(L70:L74)</f>
        <v>-13515</v>
      </c>
      <c r="M69" s="939"/>
      <c r="N69" s="939">
        <f>SUM(N70:N74)</f>
        <v>-1404</v>
      </c>
      <c r="O69" s="417"/>
      <c r="P69" s="417">
        <f>SUM(P70:P74)</f>
        <v>-1489</v>
      </c>
      <c r="Q69" s="417"/>
      <c r="R69" s="417">
        <f>SUM(R70:R74)</f>
        <v>-1718</v>
      </c>
      <c r="S69" s="417"/>
      <c r="T69" s="417">
        <f>SUM(T70:T74)</f>
        <v>-3341</v>
      </c>
      <c r="U69" s="417"/>
      <c r="V69" s="417">
        <f>SUM(V70:V74)</f>
        <v>-7952</v>
      </c>
      <c r="W69" s="421"/>
    </row>
    <row r="70" spans="2:23">
      <c r="B70" s="927" t="str">
        <f>B5</f>
        <v>Upstream &amp; Supply</v>
      </c>
      <c r="C70" s="419"/>
      <c r="D70" s="419">
        <v>-43</v>
      </c>
      <c r="E70" s="419"/>
      <c r="F70" s="419">
        <f>E48-F48</f>
        <v>-31</v>
      </c>
      <c r="G70" s="419"/>
      <c r="H70" s="419">
        <f>G48-H48</f>
        <v>-182</v>
      </c>
      <c r="I70" s="419"/>
      <c r="J70" s="419">
        <f>I48-J48</f>
        <v>99</v>
      </c>
      <c r="K70" s="419"/>
      <c r="L70" s="419">
        <f>K48-L48</f>
        <v>-157</v>
      </c>
      <c r="M70" s="422"/>
      <c r="N70" s="422">
        <f>M48-N48</f>
        <v>-137</v>
      </c>
      <c r="O70" s="419"/>
      <c r="P70" s="419">
        <f>O48-P48</f>
        <v>-376</v>
      </c>
      <c r="Q70" s="419"/>
      <c r="R70" s="419">
        <f>Q48-R48</f>
        <v>-11</v>
      </c>
      <c r="S70" s="419"/>
      <c r="T70" s="419">
        <f>S48-T48</f>
        <v>-570</v>
      </c>
      <c r="U70" s="419"/>
      <c r="V70" s="419">
        <f>U48-V48</f>
        <v>-1094</v>
      </c>
      <c r="W70" s="421"/>
    </row>
    <row r="71" spans="2:23">
      <c r="B71" s="927" t="str">
        <f>B8</f>
        <v>Downstream</v>
      </c>
      <c r="C71" s="419"/>
      <c r="D71" s="419">
        <v>-668</v>
      </c>
      <c r="E71" s="419"/>
      <c r="F71" s="419">
        <f>E51-F51</f>
        <v>-465</v>
      </c>
      <c r="G71" s="419"/>
      <c r="H71" s="419">
        <f>G51-H51</f>
        <v>-3272</v>
      </c>
      <c r="I71" s="419"/>
      <c r="J71" s="419">
        <f>I51-J51</f>
        <v>-8161</v>
      </c>
      <c r="K71" s="419"/>
      <c r="L71" s="419">
        <f>K51-L51</f>
        <v>-12566</v>
      </c>
      <c r="M71" s="422"/>
      <c r="N71" s="422">
        <f>M51-N51</f>
        <v>-1255</v>
      </c>
      <c r="O71" s="419"/>
      <c r="P71" s="419">
        <f>O51-P51</f>
        <v>-995</v>
      </c>
      <c r="Q71" s="419"/>
      <c r="R71" s="419">
        <f>Q51-R51</f>
        <v>-1671</v>
      </c>
      <c r="S71" s="419"/>
      <c r="T71" s="419">
        <f>S51-T51</f>
        <v>-2185</v>
      </c>
      <c r="U71" s="419"/>
      <c r="V71" s="419">
        <f>U51-V51</f>
        <v>-6106</v>
      </c>
      <c r="W71" s="421"/>
    </row>
    <row r="72" spans="2:23">
      <c r="B72" s="927" t="str">
        <f>B11</f>
        <v>Energy</v>
      </c>
      <c r="C72" s="419"/>
      <c r="D72" s="419">
        <v>-7</v>
      </c>
      <c r="E72" s="419"/>
      <c r="F72" s="419">
        <f>E54-F54</f>
        <v>-25</v>
      </c>
      <c r="G72" s="419"/>
      <c r="H72" s="419">
        <f>G54-H54</f>
        <v>-35</v>
      </c>
      <c r="I72" s="419"/>
      <c r="J72" s="419">
        <f>I54-J54</f>
        <v>-476</v>
      </c>
      <c r="K72" s="419"/>
      <c r="L72" s="419">
        <f>K54-L54</f>
        <v>-543</v>
      </c>
      <c r="M72" s="422"/>
      <c r="N72" s="422">
        <f>M54-N54</f>
        <v>-18</v>
      </c>
      <c r="O72" s="419"/>
      <c r="P72" s="419">
        <f>O54-P54</f>
        <v>-77</v>
      </c>
      <c r="Q72" s="419"/>
      <c r="R72" s="419">
        <f>Q54-R54</f>
        <v>-34</v>
      </c>
      <c r="S72" s="419"/>
      <c r="T72" s="419">
        <f>S54-T54</f>
        <v>-89</v>
      </c>
      <c r="U72" s="419"/>
      <c r="V72" s="419">
        <f>U54-V54</f>
        <v>-218</v>
      </c>
      <c r="W72" s="421"/>
    </row>
    <row r="73" spans="2:23">
      <c r="B73" s="927" t="str">
        <f>B15</f>
        <v>Consumers &amp; Products</v>
      </c>
      <c r="C73" s="419"/>
      <c r="D73" s="419">
        <v>0</v>
      </c>
      <c r="E73" s="419"/>
      <c r="F73" s="419">
        <f>E58-F58</f>
        <v>1</v>
      </c>
      <c r="G73" s="419"/>
      <c r="H73" s="419">
        <f>G58-H58</f>
        <v>-2</v>
      </c>
      <c r="I73" s="419"/>
      <c r="J73" s="419">
        <f>I58-J58</f>
        <v>-202</v>
      </c>
      <c r="K73" s="419"/>
      <c r="L73" s="419">
        <f>K58-L58</f>
        <v>-203</v>
      </c>
      <c r="M73" s="422"/>
      <c r="N73" s="422">
        <f>M58-N58</f>
        <v>6</v>
      </c>
      <c r="O73" s="419"/>
      <c r="P73" s="419">
        <f>O58-P58</f>
        <v>-39</v>
      </c>
      <c r="Q73" s="419"/>
      <c r="R73" s="419">
        <f>Q58-R58</f>
        <v>0</v>
      </c>
      <c r="S73" s="419"/>
      <c r="T73" s="419">
        <f>S58-T58</f>
        <v>-489</v>
      </c>
      <c r="U73" s="419"/>
      <c r="V73" s="419">
        <f>U58-V58</f>
        <v>-522</v>
      </c>
      <c r="W73" s="421"/>
    </row>
    <row r="74" spans="2:23">
      <c r="B74" s="927" t="str">
        <f>B18</f>
        <v>Corporate Functions1</v>
      </c>
      <c r="C74" s="419"/>
      <c r="D74" s="419">
        <v>0</v>
      </c>
      <c r="E74" s="419"/>
      <c r="F74" s="419">
        <f>E61-F61</f>
        <v>-1</v>
      </c>
      <c r="G74" s="419"/>
      <c r="H74" s="419">
        <f>G61-H61</f>
        <v>-33</v>
      </c>
      <c r="I74" s="419"/>
      <c r="J74" s="419">
        <f>I61-J61</f>
        <v>-12</v>
      </c>
      <c r="K74" s="419"/>
      <c r="L74" s="419">
        <f>K61-L61</f>
        <v>-46</v>
      </c>
      <c r="M74" s="422"/>
      <c r="N74" s="422">
        <f>M61-N61</f>
        <v>0</v>
      </c>
      <c r="O74" s="419"/>
      <c r="P74" s="419">
        <f>O61-P61</f>
        <v>-2</v>
      </c>
      <c r="Q74" s="419"/>
      <c r="R74" s="419">
        <f>Q61-R61</f>
        <v>-2</v>
      </c>
      <c r="S74" s="419"/>
      <c r="T74" s="419">
        <f>S61-T61</f>
        <v>-8</v>
      </c>
      <c r="U74" s="419"/>
      <c r="V74" s="419">
        <f>U61-V61</f>
        <v>-12</v>
      </c>
      <c r="W74" s="421"/>
    </row>
    <row r="75" spans="2:23">
      <c r="B75" s="421"/>
      <c r="C75" s="421"/>
      <c r="D75" s="421"/>
      <c r="E75" s="421"/>
      <c r="F75" s="421"/>
      <c r="G75" s="421"/>
      <c r="H75" s="421"/>
      <c r="I75" s="421"/>
      <c r="J75" s="421"/>
      <c r="K75" s="421"/>
      <c r="L75" s="421"/>
      <c r="M75" s="421"/>
      <c r="N75" s="421"/>
      <c r="O75" s="421"/>
      <c r="P75" s="421"/>
      <c r="Q75" s="421"/>
      <c r="R75" s="421"/>
      <c r="S75" s="421"/>
      <c r="T75" s="421"/>
      <c r="U75" s="421"/>
      <c r="V75" s="421"/>
      <c r="W75" s="421"/>
    </row>
    <row r="76" spans="2:23" s="1" customFormat="1" ht="12.75">
      <c r="B76" s="885" t="str">
        <f>names!A2276</f>
        <v>1) uwzględnia Wyłączenia</v>
      </c>
      <c r="C76" s="875"/>
      <c r="D76" s="875"/>
      <c r="E76" s="875"/>
      <c r="F76" s="875"/>
      <c r="G76" s="875"/>
      <c r="H76" s="875"/>
      <c r="I76" s="131"/>
      <c r="J76" s="131"/>
      <c r="K76" s="131"/>
      <c r="O76" s="875"/>
      <c r="P76" s="875"/>
    </row>
    <row r="77" spans="2:23">
      <c r="B77" s="885" t="str">
        <f>names!A2279</f>
        <v>*) Dane przekształcone</v>
      </c>
      <c r="C77" s="419"/>
      <c r="D77" s="419"/>
      <c r="E77" s="419"/>
      <c r="F77" s="419"/>
      <c r="G77" s="419"/>
      <c r="H77" s="419"/>
      <c r="I77" s="419"/>
      <c r="J77" s="419"/>
      <c r="K77" s="419"/>
      <c r="L77" s="419"/>
      <c r="M77" s="419"/>
      <c r="N77" s="419"/>
      <c r="O77" s="419"/>
      <c r="P77" s="419"/>
      <c r="Q77" s="419"/>
      <c r="R77" s="419"/>
      <c r="S77" s="419"/>
      <c r="T77" s="419"/>
      <c r="U77" s="419"/>
      <c r="V77" s="419"/>
    </row>
    <row r="78" spans="2:23" s="577" customFormat="1"/>
    <row r="79" spans="2:23" s="577" customFormat="1"/>
    <row r="80" spans="2:23" s="577" customFormat="1"/>
    <row r="81" spans="2:2" ht="12.75">
      <c r="B81" s="768"/>
    </row>
  </sheetData>
  <conditionalFormatting sqref="A78:XFD80">
    <cfRule type="cellIs" dxfId="124" priority="1" operator="equal">
      <formula>FALSE</formula>
    </cfRule>
  </conditionalFormatting>
  <printOptions horizontalCentered="1"/>
  <pageMargins left="0.70866141732283472" right="0.70866141732283472" top="0.74803149606299213" bottom="0.74803149606299213" header="0.31496062992125984" footer="0.31496062992125984"/>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59</vt:i4>
      </vt:variant>
      <vt:variant>
        <vt:lpstr>Nazwane zakresy</vt:lpstr>
      </vt:variant>
      <vt:variant>
        <vt:i4>93</vt:i4>
      </vt:variant>
    </vt:vector>
  </HeadingPairs>
  <TitlesOfParts>
    <vt:vector size="152" baseType="lpstr">
      <vt:lpstr>names</vt:lpstr>
      <vt:lpstr>ster</vt:lpstr>
      <vt:lpstr>Spis treści</vt:lpstr>
      <vt:lpstr>Otoczenie makro</vt:lpstr>
      <vt:lpstr>Parametry makro</vt:lpstr>
      <vt:lpstr>Konsumpcja</vt:lpstr>
      <vt:lpstr>Wybrane dane finansowe</vt:lpstr>
      <vt:lpstr>Kluczowe dane finansowe</vt:lpstr>
      <vt:lpstr>EBITDA, EBIT, Amortyzacja</vt:lpstr>
      <vt:lpstr>Upstream&amp;Supply</vt:lpstr>
      <vt:lpstr>Downstream</vt:lpstr>
      <vt:lpstr>Energy</vt:lpstr>
      <vt:lpstr>Consumers&amp;Products</vt:lpstr>
      <vt:lpstr>Corporate functions</vt:lpstr>
      <vt:lpstr>RZiS</vt:lpstr>
      <vt:lpstr>Bilans</vt:lpstr>
      <vt:lpstr>CashFlow</vt:lpstr>
      <vt:lpstr>Wybrane dane operacyjne</vt:lpstr>
      <vt:lpstr>Produkcja Downstream</vt:lpstr>
      <vt:lpstr>Sprzedaż Downstream i C&amp;P</vt:lpstr>
      <vt:lpstr>Upstream&amp;Supply_Energy</vt:lpstr>
      <vt:lpstr>Dane historyczne</vt:lpstr>
      <vt:lpstr>Marże'13-'24</vt:lpstr>
      <vt:lpstr>Kursy'13-'24</vt:lpstr>
      <vt:lpstr>Konsumpcja'13-'24</vt:lpstr>
      <vt:lpstr>Kluczowe dane finansowe'13-'19</vt:lpstr>
      <vt:lpstr>Kluczowe dane finansowe'19-'24</vt:lpstr>
      <vt:lpstr>EBITDA, EBIT, Amort.'13-'19</vt:lpstr>
      <vt:lpstr>EBITDA, EBIT, Amort.'19-'24</vt:lpstr>
      <vt:lpstr>Downstream'13-'19</vt:lpstr>
      <vt:lpstr>Rafineria '19-'24</vt:lpstr>
      <vt:lpstr>Petrochemia '19-'24</vt:lpstr>
      <vt:lpstr>Energetyka '19-'24</vt:lpstr>
      <vt:lpstr>Detal '13-'24</vt:lpstr>
      <vt:lpstr>Wydobycie '13-'24</vt:lpstr>
      <vt:lpstr>Gaz '22-'24</vt:lpstr>
      <vt:lpstr>Funkcje Korporacyjne '13-'24</vt:lpstr>
      <vt:lpstr>RZiS'13-'17</vt:lpstr>
      <vt:lpstr>RZiS'18</vt:lpstr>
      <vt:lpstr>RZiS'19-'24</vt:lpstr>
      <vt:lpstr>Bilans'13-'15</vt:lpstr>
      <vt:lpstr>Bilans'16</vt:lpstr>
      <vt:lpstr>Bilans'17-'18</vt:lpstr>
      <vt:lpstr>Bilans'19-'24</vt:lpstr>
      <vt:lpstr>CashFlow '13-'15</vt:lpstr>
      <vt:lpstr>CashFlow '16-'17</vt:lpstr>
      <vt:lpstr>CashFlow '18</vt:lpstr>
      <vt:lpstr>CashFlow '19</vt:lpstr>
      <vt:lpstr>CashFlow '20</vt:lpstr>
      <vt:lpstr>CashFlow '21</vt:lpstr>
      <vt:lpstr>CashFlow '22</vt:lpstr>
      <vt:lpstr>CashFlow '23</vt:lpstr>
      <vt:lpstr>CashFlow'24</vt:lpstr>
      <vt:lpstr>Produkcja'13-'19</vt:lpstr>
      <vt:lpstr>Produkcja'19-'24</vt:lpstr>
      <vt:lpstr>Sprzedaż '13-'19</vt:lpstr>
      <vt:lpstr>Sprzedaż '19-'24</vt:lpstr>
      <vt:lpstr>Energ_Wydoby_Gaz_'19-'22</vt:lpstr>
      <vt:lpstr>Spółki dawnej Grupy PGNiG</vt:lpstr>
      <vt:lpstr>Bilans!FWT_Bilans</vt:lpstr>
      <vt:lpstr>'Bilans''13-''15'!FWT_Bilans</vt:lpstr>
      <vt:lpstr>'Bilans''16'!FWT_Bilans</vt:lpstr>
      <vt:lpstr>'Bilans''17-''18'!FWT_Bilans</vt:lpstr>
      <vt:lpstr>'Bilans''19-''24'!FWT_Bilans</vt:lpstr>
      <vt:lpstr>CashFlow!FWT_CF</vt:lpstr>
      <vt:lpstr>'CashFlow ''13-''15'!FWT_CF</vt:lpstr>
      <vt:lpstr>'CashFlow ''16-''17'!FWT_CF</vt:lpstr>
      <vt:lpstr>'CashFlow ''18'!FWT_CF</vt:lpstr>
      <vt:lpstr>'CashFlow ''19'!FWT_CF</vt:lpstr>
      <vt:lpstr>'CashFlow ''20'!FWT_CF</vt:lpstr>
      <vt:lpstr>'CashFlow ''21'!FWT_CF</vt:lpstr>
      <vt:lpstr>'CashFlow ''22'!FWT_CF</vt:lpstr>
      <vt:lpstr>'CashFlow ''23'!FWT_CF</vt:lpstr>
      <vt:lpstr>'CashFlow''24'!FWT_CF</vt:lpstr>
      <vt:lpstr>'Funkcje Korporacyjne ''13-''24'!FWT_CK</vt:lpstr>
      <vt:lpstr>FWT_CK</vt:lpstr>
      <vt:lpstr>'Consumers&amp;Products'!FWT_Detal</vt:lpstr>
      <vt:lpstr>'Detal ''13-''24'!FWT_Detal</vt:lpstr>
      <vt:lpstr>Downstream!FWT_Downstream</vt:lpstr>
      <vt:lpstr>'Downstream''13-''19'!FWT_Downstream</vt:lpstr>
      <vt:lpstr>'Energetyka ''19-''24'!FWT_Downstream</vt:lpstr>
      <vt:lpstr>Energy!FWT_Downstream</vt:lpstr>
      <vt:lpstr>'Gaz ''22-''24'!FWT_Downstream</vt:lpstr>
      <vt:lpstr>'Petrochemia ''19-''24'!FWT_Downstream</vt:lpstr>
      <vt:lpstr>'Rafineria ''19-''24'!FWT_Downstream</vt:lpstr>
      <vt:lpstr>'Upstream&amp;Supply'!FWT_Downstream</vt:lpstr>
      <vt:lpstr>'Konsumpcja''13-''24'!FWT_Konsumpcja</vt:lpstr>
      <vt:lpstr>FWT_Konsumpcja</vt:lpstr>
      <vt:lpstr>'Kursy''13-''24'!FWT_Kursy</vt:lpstr>
      <vt:lpstr>'Marże''13-''24'!FWT_Marze</vt:lpstr>
      <vt:lpstr>FWT_Marze</vt:lpstr>
      <vt:lpstr>RZiS!FWT_RZiS</vt:lpstr>
      <vt:lpstr>'RZiS''18'!FWT_RZiS</vt:lpstr>
      <vt:lpstr>'RZiS''19-''24'!FWT_RZiS</vt:lpstr>
      <vt:lpstr>FWT_RZiS</vt:lpstr>
      <vt:lpstr>Bilans!Obszar_wydruku</vt:lpstr>
      <vt:lpstr>'Bilans''13-''15'!Obszar_wydruku</vt:lpstr>
      <vt:lpstr>'Bilans''16'!Obszar_wydruku</vt:lpstr>
      <vt:lpstr>'Bilans''17-''18'!Obszar_wydruku</vt:lpstr>
      <vt:lpstr>'Bilans''19-''24'!Obszar_wydruku</vt:lpstr>
      <vt:lpstr>CashFlow!Obszar_wydruku</vt:lpstr>
      <vt:lpstr>'CashFlow ''13-''15'!Obszar_wydruku</vt:lpstr>
      <vt:lpstr>'CashFlow ''16-''17'!Obszar_wydruku</vt:lpstr>
      <vt:lpstr>'CashFlow ''18'!Obszar_wydruku</vt:lpstr>
      <vt:lpstr>'CashFlow ''19'!Obszar_wydruku</vt:lpstr>
      <vt:lpstr>'CashFlow ''20'!Obszar_wydruku</vt:lpstr>
      <vt:lpstr>'CashFlow ''21'!Obszar_wydruku</vt:lpstr>
      <vt:lpstr>'CashFlow ''22'!Obszar_wydruku</vt:lpstr>
      <vt:lpstr>'CashFlow ''23'!Obszar_wydruku</vt:lpstr>
      <vt:lpstr>'CashFlow''24'!Obszar_wydruku</vt:lpstr>
      <vt:lpstr>'Consumers&amp;Products'!Obszar_wydruku</vt:lpstr>
      <vt:lpstr>'Corporate functions'!Obszar_wydruku</vt:lpstr>
      <vt:lpstr>'Dane historyczne'!Obszar_wydruku</vt:lpstr>
      <vt:lpstr>'Detal ''13-''24'!Obszar_wydruku</vt:lpstr>
      <vt:lpstr>Downstream!Obszar_wydruku</vt:lpstr>
      <vt:lpstr>'Downstream''13-''19'!Obszar_wydruku</vt:lpstr>
      <vt:lpstr>'EBITDA, EBIT, Amort.''13-''19'!Obszar_wydruku</vt:lpstr>
      <vt:lpstr>'EBITDA, EBIT, Amort.''19-''24'!Obszar_wydruku</vt:lpstr>
      <vt:lpstr>'EBITDA, EBIT, Amortyzacja'!Obszar_wydruku</vt:lpstr>
      <vt:lpstr>'Energ_Wydoby_Gaz_''19-''22'!Obszar_wydruku</vt:lpstr>
      <vt:lpstr>'Energetyka ''19-''24'!Obszar_wydruku</vt:lpstr>
      <vt:lpstr>Energy!Obszar_wydruku</vt:lpstr>
      <vt:lpstr>'Funkcje Korporacyjne ''13-''24'!Obszar_wydruku</vt:lpstr>
      <vt:lpstr>'Gaz ''22-''24'!Obszar_wydruku</vt:lpstr>
      <vt:lpstr>'Kluczowe dane finansowe'!Obszar_wydruku</vt:lpstr>
      <vt:lpstr>'Kluczowe dane finansowe''13-''19'!Obszar_wydruku</vt:lpstr>
      <vt:lpstr>'Kluczowe dane finansowe''19-''24'!Obszar_wydruku</vt:lpstr>
      <vt:lpstr>Konsumpcja!Obszar_wydruku</vt:lpstr>
      <vt:lpstr>'Konsumpcja''13-''24'!Obszar_wydruku</vt:lpstr>
      <vt:lpstr>'Kursy''13-''24'!Obszar_wydruku</vt:lpstr>
      <vt:lpstr>'Marże''13-''24'!Obszar_wydruku</vt:lpstr>
      <vt:lpstr>'Otoczenie makro'!Obszar_wydruku</vt:lpstr>
      <vt:lpstr>'Parametry makro'!Obszar_wydruku</vt:lpstr>
      <vt:lpstr>'Petrochemia ''19-''24'!Obszar_wydruku</vt:lpstr>
      <vt:lpstr>'Produkcja Downstream'!Obszar_wydruku</vt:lpstr>
      <vt:lpstr>'Produkcja''13-''19'!Obszar_wydruku</vt:lpstr>
      <vt:lpstr>'Produkcja''19-''24'!Obszar_wydruku</vt:lpstr>
      <vt:lpstr>'Rafineria ''19-''24'!Obszar_wydruku</vt:lpstr>
      <vt:lpstr>RZiS!Obszar_wydruku</vt:lpstr>
      <vt:lpstr>'RZiS''13-''17'!Obszar_wydruku</vt:lpstr>
      <vt:lpstr>'RZiS''18'!Obszar_wydruku</vt:lpstr>
      <vt:lpstr>'RZiS''19-''24'!Obszar_wydruku</vt:lpstr>
      <vt:lpstr>'Spis treści'!Obszar_wydruku</vt:lpstr>
      <vt:lpstr>'Spółki dawnej Grupy PGNiG'!Obszar_wydruku</vt:lpstr>
      <vt:lpstr>'Sprzedaż ''13-''19'!Obszar_wydruku</vt:lpstr>
      <vt:lpstr>'Sprzedaż ''19-''24'!Obszar_wydruku</vt:lpstr>
      <vt:lpstr>'Sprzedaż Downstream i C&amp;P'!Obszar_wydruku</vt:lpstr>
      <vt:lpstr>'Upstream&amp;Supply'!Obszar_wydruku</vt:lpstr>
      <vt:lpstr>'Upstream&amp;Supply_Energy'!Obszar_wydruku</vt:lpstr>
      <vt:lpstr>'Wybrane dane finansowe'!Obszar_wydruku</vt:lpstr>
      <vt:lpstr>'Wybrane dane operacyjne'!Obszar_wydruku</vt:lpstr>
      <vt:lpstr>'Wydobycie ''13-''24'!Obszar_wydruku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Chojnowski Cezary (PKN)</dc:creator>
  <cp:lastModifiedBy>Rawicki Tomasz (ORL)</cp:lastModifiedBy>
  <cp:lastPrinted>2025-06-23T10:55:46Z</cp:lastPrinted>
  <dcterms:created xsi:type="dcterms:W3CDTF">2014-01-14T12:39:41Z</dcterms:created>
  <dcterms:modified xsi:type="dcterms:W3CDTF">2026-02-18T14:15:28Z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Dane finansowo-operacyjne według segmentów działalności_3Q2021_PL.xls</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